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odig\Documents\BURZA\2023\DD\"/>
    </mc:Choice>
  </mc:AlternateContent>
  <bookViews>
    <workbookView xWindow="480" yWindow="585" windowWidth="22995" windowHeight="9495" tabRatio="595"/>
  </bookViews>
  <sheets>
    <sheet name="BILANCA" sheetId="1" r:id="rId1"/>
    <sheet name="RDG " sheetId="22" r:id="rId2"/>
    <sheet name="SVEOBUHVATNA DOBIT " sheetId="21" r:id="rId3"/>
    <sheet name="NOVČANI TOKOVI" sheetId="11" r:id="rId4"/>
    <sheet name="PROMJENE KAPITALA " sheetId="19" r:id="rId5"/>
    <sheet name="BILJEŠKE " sheetId="18" r:id="rId6"/>
  </sheets>
  <definedNames>
    <definedName name="_xlnm.Print_Area" localSheetId="0">BILANCA!$A$1:$L$133</definedName>
    <definedName name="_xlnm.Print_Area" localSheetId="5">'BILJEŠKE '!$A$1:$J$675</definedName>
    <definedName name="_xlnm.Print_Area" localSheetId="3">'NOVČANI TOKOVI'!$A$1:$J$51</definedName>
    <definedName name="_xlnm.Print_Area" localSheetId="4">'PROMJENE KAPITALA '!$A$82:$Y$163</definedName>
    <definedName name="_xlnm.Print_Area" localSheetId="1">'RDG '!$A$1:$L$65</definedName>
    <definedName name="_xlnm.Print_Area" localSheetId="2">'SVEOBUHVATNA DOBIT '!$A$1:$K$25</definedName>
    <definedName name="_xlnm.Print_Titles" localSheetId="0">BILANCA!$1:$2</definedName>
    <definedName name="_xlnm.Print_Titles" localSheetId="5">'BILJEŠKE '!$1:$3</definedName>
  </definedNames>
  <calcPr calcId="162913"/>
</workbook>
</file>

<file path=xl/calcChain.xml><?xml version="1.0" encoding="utf-8"?>
<calcChain xmlns="http://schemas.openxmlformats.org/spreadsheetml/2006/main">
  <c r="H288" i="18" l="1"/>
  <c r="H287" i="18"/>
  <c r="L430" i="18" l="1"/>
  <c r="I428" i="18"/>
  <c r="J204" i="18" l="1"/>
  <c r="V131" i="19" l="1"/>
  <c r="U139" i="19"/>
  <c r="L95" i="1" l="1"/>
  <c r="L62" i="22"/>
  <c r="L92" i="1"/>
  <c r="S127" i="19"/>
  <c r="Z116" i="19"/>
  <c r="V96" i="19"/>
  <c r="D230" i="18" l="1"/>
  <c r="D223" i="18"/>
  <c r="I204" i="18"/>
  <c r="L103" i="1"/>
  <c r="L40" i="1"/>
  <c r="J65" i="22"/>
  <c r="J95" i="1" l="1"/>
  <c r="J69" i="1"/>
  <c r="J132" i="1"/>
  <c r="K23" i="1" l="1"/>
  <c r="K16" i="1"/>
  <c r="K62" i="22" l="1"/>
  <c r="K95" i="1"/>
  <c r="K40" i="1"/>
  <c r="L436" i="18" l="1"/>
  <c r="I434" i="18"/>
  <c r="J519" i="18"/>
  <c r="J451" i="18"/>
  <c r="L443" i="18"/>
  <c r="J436" i="18"/>
  <c r="H436" i="18"/>
  <c r="J388" i="18"/>
  <c r="J256" i="18"/>
  <c r="J253" i="18"/>
  <c r="J177" i="18"/>
  <c r="J168" i="18"/>
  <c r="L160" i="18"/>
  <c r="J159" i="18"/>
  <c r="H159" i="18"/>
  <c r="I159" i="18"/>
  <c r="J101" i="18"/>
  <c r="J75" i="18"/>
  <c r="J15" i="18"/>
  <c r="I436" i="18" l="1"/>
  <c r="K14" i="21" l="1"/>
  <c r="K7" i="21"/>
  <c r="K72" i="1"/>
  <c r="K103" i="1"/>
  <c r="K97" i="1" s="1"/>
  <c r="K14" i="1"/>
  <c r="J14" i="21"/>
  <c r="J7" i="21"/>
  <c r="J6" i="21" s="1"/>
  <c r="J24" i="21" s="1"/>
  <c r="K7" i="1"/>
  <c r="K45" i="22"/>
  <c r="K34" i="22"/>
  <c r="K26" i="22"/>
  <c r="K23" i="22"/>
  <c r="K17" i="22"/>
  <c r="K13" i="22"/>
  <c r="K5" i="22"/>
  <c r="K116" i="1"/>
  <c r="K104" i="1"/>
  <c r="K93" i="1"/>
  <c r="K90" i="1"/>
  <c r="K84" i="1"/>
  <c r="K77" i="1"/>
  <c r="K57" i="1"/>
  <c r="K50" i="1"/>
  <c r="K42" i="1"/>
  <c r="K35" i="1"/>
  <c r="K24" i="1"/>
  <c r="K41" i="1" l="1"/>
  <c r="K11" i="22"/>
  <c r="K58" i="22" s="1"/>
  <c r="K57" i="22"/>
  <c r="K74" i="1"/>
  <c r="K132" i="1" s="1"/>
  <c r="K6" i="1"/>
  <c r="K69" i="1" l="1"/>
  <c r="K59" i="22"/>
  <c r="K65" i="22" s="1"/>
  <c r="J5" i="21" s="1"/>
  <c r="J25" i="21" s="1"/>
  <c r="K61" i="22"/>
  <c r="L42" i="22"/>
  <c r="K63" i="22" l="1"/>
  <c r="L33" i="22"/>
  <c r="L10" i="22"/>
  <c r="L9" i="22"/>
  <c r="L15" i="22"/>
  <c r="J385" i="18" l="1"/>
  <c r="I376" i="18" l="1"/>
  <c r="J374" i="18"/>
  <c r="I374" i="18"/>
  <c r="H374" i="18"/>
  <c r="J378" i="18"/>
  <c r="L378" i="18" s="1"/>
  <c r="I378" i="18" l="1"/>
  <c r="H378" i="18"/>
  <c r="L379" i="18" s="1"/>
  <c r="J73" i="18" l="1"/>
  <c r="J166" i="18"/>
  <c r="J441" i="18" l="1"/>
  <c r="I441" i="18"/>
  <c r="H441" i="18"/>
  <c r="J443" i="18"/>
  <c r="H443" i="18"/>
  <c r="I443" i="18"/>
  <c r="J182" i="18"/>
  <c r="J53" i="18"/>
  <c r="H75" i="18"/>
  <c r="I75" i="18" s="1"/>
  <c r="I71" i="18"/>
  <c r="J259" i="18"/>
  <c r="I258" i="18" l="1"/>
  <c r="H492" i="18" l="1"/>
  <c r="J492" i="18"/>
  <c r="I492" i="18"/>
  <c r="J490" i="18"/>
  <c r="I490" i="18"/>
  <c r="H490" i="18"/>
  <c r="J279" i="18"/>
  <c r="J277" i="18"/>
  <c r="J273" i="18"/>
  <c r="J270" i="18"/>
  <c r="I14" i="21"/>
  <c r="J222" i="18" l="1"/>
  <c r="J230" i="18"/>
  <c r="J228" i="18"/>
  <c r="J223" i="18"/>
  <c r="I224" i="18"/>
  <c r="J224" i="18" s="1"/>
  <c r="I225" i="18"/>
  <c r="J225" i="18" s="1"/>
  <c r="I226" i="18"/>
  <c r="I230" i="18"/>
  <c r="H15" i="18"/>
  <c r="H20" i="18"/>
  <c r="H21" i="18"/>
  <c r="H23" i="18"/>
  <c r="H26" i="18"/>
  <c r="H28" i="18"/>
  <c r="H29" i="18"/>
  <c r="H31" i="18"/>
  <c r="H32" i="18"/>
  <c r="H33" i="18"/>
  <c r="H35" i="18"/>
  <c r="H38" i="18"/>
  <c r="H43" i="18"/>
  <c r="H46" i="18"/>
  <c r="H47" i="18"/>
  <c r="H52" i="18"/>
  <c r="H53" i="18"/>
  <c r="H80" i="18"/>
  <c r="H81" i="18"/>
  <c r="H82" i="18"/>
  <c r="H88" i="18"/>
  <c r="H91" i="18"/>
  <c r="H92" i="18"/>
  <c r="H93" i="18"/>
  <c r="H100" i="18"/>
  <c r="H101" i="18"/>
  <c r="H104" i="18"/>
  <c r="H111" i="18"/>
  <c r="H105" i="18" s="1"/>
  <c r="H116" i="18"/>
  <c r="H120" i="18"/>
  <c r="H124" i="18"/>
  <c r="H126" i="18"/>
  <c r="H137" i="18"/>
  <c r="H142" i="18"/>
  <c r="H144" i="18"/>
  <c r="H148" i="18"/>
  <c r="H153" i="18"/>
  <c r="H163" i="18"/>
  <c r="H168" i="18"/>
  <c r="H169" i="18" s="1"/>
  <c r="H173" i="18"/>
  <c r="H177" i="18"/>
  <c r="H183" i="18" s="1"/>
  <c r="H187" i="18"/>
  <c r="H189" i="18"/>
  <c r="H198" i="18" s="1"/>
  <c r="H202" i="18"/>
  <c r="H205" i="18"/>
  <c r="H235" i="18"/>
  <c r="H245" i="18"/>
  <c r="H249" i="18"/>
  <c r="H250" i="18"/>
  <c r="H251" i="18"/>
  <c r="H252" i="18"/>
  <c r="H253" i="18"/>
  <c r="H254" i="18"/>
  <c r="H256" i="18"/>
  <c r="H257" i="18"/>
  <c r="H267" i="18"/>
  <c r="H269" i="18"/>
  <c r="H280" i="18" s="1"/>
  <c r="H281" i="18"/>
  <c r="H286" i="18"/>
  <c r="H306" i="18"/>
  <c r="H310" i="18"/>
  <c r="H312" i="18"/>
  <c r="H313" i="18"/>
  <c r="H314" i="18"/>
  <c r="H315" i="18"/>
  <c r="H316" i="18"/>
  <c r="H317" i="18"/>
  <c r="H318" i="18"/>
  <c r="H319" i="18"/>
  <c r="H320" i="18"/>
  <c r="H321" i="18"/>
  <c r="H330" i="18"/>
  <c r="H335" i="18"/>
  <c r="H337" i="18"/>
  <c r="H338" i="18"/>
  <c r="H347" i="18"/>
  <c r="H349" i="18"/>
  <c r="H354" i="18"/>
  <c r="H355" i="18"/>
  <c r="H356" i="18"/>
  <c r="H364" i="18"/>
  <c r="H370" i="18"/>
  <c r="H382" i="18"/>
  <c r="H383" i="18"/>
  <c r="H388" i="18"/>
  <c r="H393" i="18"/>
  <c r="H396" i="18"/>
  <c r="H400" i="18"/>
  <c r="H403" i="18"/>
  <c r="H407" i="18"/>
  <c r="H410" i="18"/>
  <c r="H415" i="18" s="1"/>
  <c r="H425" i="18"/>
  <c r="H429" i="18"/>
  <c r="H447" i="18"/>
  <c r="H451" i="18"/>
  <c r="H453" i="18" s="1"/>
  <c r="H455" i="18" s="1"/>
  <c r="H459" i="18"/>
  <c r="H464" i="18"/>
  <c r="H466" i="18" s="1"/>
  <c r="H469" i="18"/>
  <c r="H473" i="18"/>
  <c r="H474" i="18"/>
  <c r="H479" i="18"/>
  <c r="H485" i="18"/>
  <c r="H486" i="18" s="1"/>
  <c r="H496" i="18"/>
  <c r="H497" i="18"/>
  <c r="H498" i="18" s="1"/>
  <c r="H502" i="18"/>
  <c r="H506" i="18"/>
  <c r="H510" i="18"/>
  <c r="H512" i="18"/>
  <c r="H513" i="18"/>
  <c r="H518" i="18"/>
  <c r="H519" i="18"/>
  <c r="H520" i="18"/>
  <c r="H525" i="18"/>
  <c r="H531" i="18"/>
  <c r="H535" i="18"/>
  <c r="H545" i="18"/>
  <c r="H560" i="18"/>
  <c r="H562" i="18"/>
  <c r="H575" i="18"/>
  <c r="H576" i="18"/>
  <c r="H578" i="18" s="1"/>
  <c r="H582" i="18"/>
  <c r="H584" i="18"/>
  <c r="H588" i="18"/>
  <c r="H590" i="18"/>
  <c r="H594" i="18"/>
  <c r="H598" i="18"/>
  <c r="H599" i="18" s="1"/>
  <c r="H603" i="18"/>
  <c r="H605" i="18"/>
  <c r="H609" i="18"/>
  <c r="H620" i="18"/>
  <c r="H624" i="18"/>
  <c r="H638" i="18"/>
  <c r="H642" i="18"/>
  <c r="H645" i="18"/>
  <c r="H649" i="18"/>
  <c r="H658" i="18"/>
  <c r="H662" i="18"/>
  <c r="H667" i="18"/>
  <c r="I213" i="18"/>
  <c r="J213" i="18" s="1"/>
  <c r="I214" i="18"/>
  <c r="J214" i="18" s="1"/>
  <c r="H16" i="18" l="1"/>
  <c r="I229" i="18"/>
  <c r="I231" i="18" s="1"/>
  <c r="H138" i="18"/>
  <c r="H96" i="18"/>
  <c r="H389" i="18"/>
  <c r="H76" i="18"/>
  <c r="H475" i="18"/>
  <c r="H571" i="18"/>
  <c r="H282" i="18"/>
  <c r="H360" i="18"/>
  <c r="H39" i="18"/>
  <c r="H343" i="18"/>
  <c r="H289" i="18"/>
  <c r="H263" i="18"/>
  <c r="H48" i="18"/>
  <c r="H514" i="18"/>
  <c r="H322" i="18"/>
  <c r="H324" i="18" s="1"/>
  <c r="H331" i="18" s="1"/>
  <c r="H521" i="18"/>
  <c r="H84" i="18"/>
  <c r="H112" i="18"/>
  <c r="F227" i="18"/>
  <c r="J227" i="18" s="1"/>
  <c r="I212" i="18"/>
  <c r="J212" i="18" s="1"/>
  <c r="W222" i="18"/>
  <c r="J167" i="18"/>
  <c r="J67" i="18" l="1"/>
  <c r="J57" i="18"/>
  <c r="J76" i="18" l="1"/>
  <c r="J536" i="18"/>
  <c r="J520" i="18"/>
  <c r="J513" i="18"/>
  <c r="J512" i="18"/>
  <c r="J497" i="18"/>
  <c r="J474" i="18"/>
  <c r="J473" i="18"/>
  <c r="J409" i="18"/>
  <c r="J383" i="18"/>
  <c r="J356" i="18"/>
  <c r="J355" i="18"/>
  <c r="J349" i="18"/>
  <c r="J337" i="18" l="1"/>
  <c r="J318" i="18"/>
  <c r="J315" i="18"/>
  <c r="J314" i="18"/>
  <c r="J312" i="18"/>
  <c r="J321" i="18"/>
  <c r="J320" i="18"/>
  <c r="J319" i="18"/>
  <c r="J317" i="18"/>
  <c r="J316" i="18"/>
  <c r="J313" i="18"/>
  <c r="J330" i="18"/>
  <c r="J300" i="18"/>
  <c r="J304" i="18"/>
  <c r="J291" i="18"/>
  <c r="J293" i="18"/>
  <c r="J288" i="18"/>
  <c r="J287" i="18"/>
  <c r="J261" i="18"/>
  <c r="J250" i="18"/>
  <c r="J254" i="18"/>
  <c r="J169" i="18"/>
  <c r="L34" i="22"/>
  <c r="J188" i="18"/>
  <c r="J198" i="18" s="1"/>
  <c r="J174" i="18"/>
  <c r="J175" i="18"/>
  <c r="J126" i="18"/>
  <c r="J94" i="18"/>
  <c r="J91" i="18"/>
  <c r="J82" i="18"/>
  <c r="J81" i="18"/>
  <c r="J137" i="18" l="1"/>
  <c r="J138" i="18" s="1"/>
  <c r="J84" i="18"/>
  <c r="J46" i="18"/>
  <c r="J38" i="18"/>
  <c r="J31" i="18"/>
  <c r="J21" i="18"/>
  <c r="J35" i="18"/>
  <c r="J34" i="18"/>
  <c r="J33" i="18"/>
  <c r="J29" i="18"/>
  <c r="J28" i="18"/>
  <c r="J26" i="18"/>
  <c r="J638" i="18" l="1"/>
  <c r="J658" i="18"/>
  <c r="L658" i="18" s="1"/>
  <c r="J598" i="18"/>
  <c r="J576" i="18"/>
  <c r="J562" i="18"/>
  <c r="J560" i="18"/>
  <c r="P541" i="18"/>
  <c r="I538" i="18"/>
  <c r="O539" i="18"/>
  <c r="P536" i="18"/>
  <c r="O541" i="18"/>
  <c r="P542" i="18" l="1"/>
  <c r="J540" i="18" s="1"/>
  <c r="J139" i="19" l="1"/>
  <c r="P134" i="19"/>
  <c r="H139" i="19"/>
  <c r="J18" i="11"/>
  <c r="J11" i="11" l="1"/>
  <c r="J19" i="11" s="1"/>
  <c r="J27" i="11"/>
  <c r="J33" i="11"/>
  <c r="J40" i="11"/>
  <c r="J47" i="11" s="1"/>
  <c r="J46" i="11"/>
  <c r="J34" i="11" l="1"/>
  <c r="J49" i="11"/>
  <c r="J51" i="11" s="1"/>
  <c r="M50" i="11" s="1"/>
  <c r="M49" i="11"/>
  <c r="L115" i="1" l="1"/>
  <c r="I21" i="1" l="1"/>
  <c r="I664" i="18" l="1"/>
  <c r="I655" i="18"/>
  <c r="I654" i="18"/>
  <c r="I653" i="18"/>
  <c r="I652" i="18"/>
  <c r="I651" i="18"/>
  <c r="I650" i="18"/>
  <c r="I644" i="18"/>
  <c r="I643" i="18"/>
  <c r="I634" i="18"/>
  <c r="I633" i="18"/>
  <c r="I632" i="18"/>
  <c r="I630" i="18"/>
  <c r="I629" i="18"/>
  <c r="I628" i="18"/>
  <c r="I627" i="18"/>
  <c r="I626" i="18"/>
  <c r="I625" i="18"/>
  <c r="I613" i="18"/>
  <c r="I612" i="18"/>
  <c r="I604" i="18"/>
  <c r="I597" i="18"/>
  <c r="I596" i="18"/>
  <c r="I595" i="18"/>
  <c r="I589" i="18"/>
  <c r="I583" i="18"/>
  <c r="I570" i="18"/>
  <c r="I569" i="18"/>
  <c r="I568" i="18"/>
  <c r="I567" i="18"/>
  <c r="I566" i="18"/>
  <c r="I565" i="18"/>
  <c r="I564" i="18"/>
  <c r="I563" i="18"/>
  <c r="I561" i="18"/>
  <c r="I559" i="18"/>
  <c r="I558" i="18"/>
  <c r="I557" i="18"/>
  <c r="I556" i="18"/>
  <c r="I555" i="18"/>
  <c r="I554" i="18"/>
  <c r="I553" i="18"/>
  <c r="I552" i="18"/>
  <c r="I551" i="18"/>
  <c r="I550" i="18"/>
  <c r="I549" i="18"/>
  <c r="I548" i="18"/>
  <c r="I547" i="18"/>
  <c r="I546" i="18"/>
  <c r="I529" i="18"/>
  <c r="I537" i="18"/>
  <c r="I536" i="18"/>
  <c r="I528" i="18"/>
  <c r="I527" i="18"/>
  <c r="I511" i="18"/>
  <c r="I484" i="18"/>
  <c r="I483" i="18"/>
  <c r="I482" i="18"/>
  <c r="I481" i="18"/>
  <c r="I480" i="18"/>
  <c r="I472" i="18"/>
  <c r="I471" i="18"/>
  <c r="I470" i="18"/>
  <c r="I454" i="18"/>
  <c r="I452" i="18"/>
  <c r="I450" i="18"/>
  <c r="I449" i="18"/>
  <c r="I427" i="18"/>
  <c r="I426" i="18"/>
  <c r="I414" i="18"/>
  <c r="I413" i="18"/>
  <c r="I411" i="18"/>
  <c r="I409" i="18"/>
  <c r="I408" i="18"/>
  <c r="I395" i="18"/>
  <c r="I394" i="18"/>
  <c r="I359" i="18"/>
  <c r="I385" i="18"/>
  <c r="I384" i="18"/>
  <c r="I369" i="18"/>
  <c r="I368" i="18"/>
  <c r="I367" i="18"/>
  <c r="I366" i="18"/>
  <c r="I365" i="18"/>
  <c r="I358" i="18"/>
  <c r="I357" i="18"/>
  <c r="I353" i="18"/>
  <c r="I352" i="18"/>
  <c r="I351" i="18"/>
  <c r="I350" i="18"/>
  <c r="I342" i="18"/>
  <c r="I341" i="18"/>
  <c r="I340" i="18"/>
  <c r="I339" i="18"/>
  <c r="I336" i="18"/>
  <c r="I329" i="18"/>
  <c r="I328" i="18"/>
  <c r="I327" i="18"/>
  <c r="I326" i="18"/>
  <c r="I323" i="18"/>
  <c r="I304" i="18"/>
  <c r="I303" i="18"/>
  <c r="I302" i="18"/>
  <c r="I301" i="18"/>
  <c r="I300" i="18"/>
  <c r="I299" i="18"/>
  <c r="I298" i="18"/>
  <c r="I297" i="18"/>
  <c r="I296" i="18"/>
  <c r="I295" i="18"/>
  <c r="I294" i="18"/>
  <c r="I293" i="18"/>
  <c r="I292" i="18"/>
  <c r="I291" i="18"/>
  <c r="I279" i="18"/>
  <c r="I277" i="18"/>
  <c r="I276" i="18"/>
  <c r="I275" i="18"/>
  <c r="I273" i="18"/>
  <c r="I272" i="18"/>
  <c r="I271" i="18"/>
  <c r="I268" i="18"/>
  <c r="I262" i="18"/>
  <c r="I244" i="18"/>
  <c r="I261" i="18"/>
  <c r="I260" i="18"/>
  <c r="I255" i="18"/>
  <c r="I243" i="18"/>
  <c r="I241" i="18"/>
  <c r="I197" i="18"/>
  <c r="I194" i="18"/>
  <c r="I192" i="18"/>
  <c r="I191" i="18"/>
  <c r="I190" i="18"/>
  <c r="I188" i="18"/>
  <c r="I182" i="18"/>
  <c r="I179" i="18"/>
  <c r="I178" i="18"/>
  <c r="I176" i="18"/>
  <c r="I175" i="18"/>
  <c r="I174" i="18"/>
  <c r="I167" i="18"/>
  <c r="I165" i="18"/>
  <c r="I164" i="18"/>
  <c r="I152" i="18"/>
  <c r="I151" i="18"/>
  <c r="I150" i="18"/>
  <c r="I149" i="18"/>
  <c r="I136" i="18"/>
  <c r="I135" i="18"/>
  <c r="I134" i="18"/>
  <c r="I133" i="18"/>
  <c r="I132" i="18"/>
  <c r="I131" i="18"/>
  <c r="I130" i="18"/>
  <c r="I129" i="18"/>
  <c r="I128" i="18"/>
  <c r="I127" i="18"/>
  <c r="I125" i="18"/>
  <c r="I119" i="18"/>
  <c r="I118" i="18"/>
  <c r="I117" i="18"/>
  <c r="I110" i="18"/>
  <c r="I109" i="18"/>
  <c r="I108" i="18"/>
  <c r="I107" i="18"/>
  <c r="I106" i="18"/>
  <c r="I103" i="18"/>
  <c r="I102" i="18"/>
  <c r="I95" i="18"/>
  <c r="I83" i="18"/>
  <c r="I70" i="18"/>
  <c r="I69" i="18"/>
  <c r="I68" i="18"/>
  <c r="I67" i="18"/>
  <c r="I63" i="18"/>
  <c r="I62" i="18"/>
  <c r="I59" i="18"/>
  <c r="I58" i="18"/>
  <c r="I57" i="18"/>
  <c r="I56" i="18"/>
  <c r="I55" i="18"/>
  <c r="I54" i="18"/>
  <c r="I45" i="18"/>
  <c r="I44" i="18"/>
  <c r="I34" i="18"/>
  <c r="I30" i="18"/>
  <c r="I24" i="18"/>
  <c r="I22" i="18"/>
  <c r="I14" i="18"/>
  <c r="I13" i="18"/>
  <c r="I12" i="18"/>
  <c r="I11" i="18"/>
  <c r="I10" i="18"/>
  <c r="I9" i="18"/>
  <c r="I8" i="18"/>
  <c r="J113" i="19"/>
  <c r="U113" i="19"/>
  <c r="P99" i="19"/>
  <c r="I50" i="11" l="1"/>
  <c r="I45" i="11"/>
  <c r="I41" i="11"/>
  <c r="I39" i="11"/>
  <c r="I38" i="11"/>
  <c r="I32" i="11"/>
  <c r="I30" i="11"/>
  <c r="I28" i="11"/>
  <c r="I26" i="11"/>
  <c r="I25" i="11"/>
  <c r="I24" i="11"/>
  <c r="I21" i="11"/>
  <c r="I17" i="11"/>
  <c r="I16" i="11"/>
  <c r="I15" i="11"/>
  <c r="I13" i="11"/>
  <c r="I12" i="11"/>
  <c r="I10" i="11"/>
  <c r="I9" i="11"/>
  <c r="I7" i="11"/>
  <c r="I6" i="11"/>
  <c r="H14" i="21"/>
  <c r="H7" i="21"/>
  <c r="H6" i="21" l="1"/>
  <c r="I9" i="21"/>
  <c r="I7" i="21" s="1"/>
  <c r="I35" i="22"/>
  <c r="I62" i="22"/>
  <c r="I50" i="22"/>
  <c r="I48" i="22"/>
  <c r="I46" i="22"/>
  <c r="I44" i="22"/>
  <c r="I41" i="22"/>
  <c r="I38" i="22"/>
  <c r="I29" i="22"/>
  <c r="I27" i="22"/>
  <c r="I25" i="22"/>
  <c r="I22" i="22"/>
  <c r="I21" i="22"/>
  <c r="I19" i="22"/>
  <c r="I18" i="22"/>
  <c r="I16" i="22"/>
  <c r="I14" i="22"/>
  <c r="I8" i="22"/>
  <c r="I7" i="22"/>
  <c r="I131" i="1"/>
  <c r="I68" i="1"/>
  <c r="I75" i="1"/>
  <c r="I133" i="1"/>
  <c r="I130" i="1"/>
  <c r="I126" i="1"/>
  <c r="I124" i="1"/>
  <c r="I123" i="1"/>
  <c r="I122" i="1"/>
  <c r="I117" i="1"/>
  <c r="I114" i="1"/>
  <c r="I112" i="1"/>
  <c r="I110" i="1"/>
  <c r="I105" i="1"/>
  <c r="I103" i="1"/>
  <c r="I100" i="1"/>
  <c r="I98" i="1"/>
  <c r="I91" i="1"/>
  <c r="I85" i="1"/>
  <c r="I82" i="1"/>
  <c r="I78" i="1"/>
  <c r="I70" i="1"/>
  <c r="I67" i="1"/>
  <c r="I65" i="1"/>
  <c r="I60" i="1"/>
  <c r="I56" i="1"/>
  <c r="I55" i="1"/>
  <c r="I54" i="1"/>
  <c r="I53" i="1"/>
  <c r="I52" i="1"/>
  <c r="I51" i="1"/>
  <c r="I46" i="1"/>
  <c r="I43" i="1"/>
  <c r="I36" i="1"/>
  <c r="I34" i="1"/>
  <c r="I32" i="1"/>
  <c r="I30" i="1"/>
  <c r="I28" i="1"/>
  <c r="I27" i="1"/>
  <c r="I25" i="1"/>
  <c r="I23" i="1"/>
  <c r="I22" i="1"/>
  <c r="I20" i="1"/>
  <c r="I18" i="1"/>
  <c r="I17" i="1"/>
  <c r="I16" i="1"/>
  <c r="I15" i="1"/>
  <c r="I12" i="1"/>
  <c r="I9" i="1"/>
  <c r="I42" i="1" l="1"/>
  <c r="I88" i="1"/>
  <c r="M133" i="1" l="1"/>
  <c r="I617" i="18" l="1"/>
  <c r="I615" i="18"/>
  <c r="I614" i="18"/>
  <c r="W230" i="18"/>
  <c r="Q229" i="18"/>
  <c r="Q231" i="18" s="1"/>
  <c r="U228" i="18"/>
  <c r="W228" i="18" s="1"/>
  <c r="D228" i="18" s="1"/>
  <c r="S227" i="18"/>
  <c r="W227" i="18" s="1"/>
  <c r="D227" i="18" s="1"/>
  <c r="W226" i="18"/>
  <c r="D226" i="18" s="1"/>
  <c r="U225" i="18"/>
  <c r="W225" i="18" s="1"/>
  <c r="D225" i="18" s="1"/>
  <c r="U224" i="18"/>
  <c r="W223" i="18"/>
  <c r="D222" i="18"/>
  <c r="S215" i="18"/>
  <c r="Q215" i="18"/>
  <c r="W214" i="18"/>
  <c r="D214" i="18" s="1"/>
  <c r="W213" i="18"/>
  <c r="U212" i="18"/>
  <c r="W212" i="18" s="1"/>
  <c r="D212" i="18" s="1"/>
  <c r="U229" i="18" l="1"/>
  <c r="U231" i="18" s="1"/>
  <c r="W215" i="18"/>
  <c r="L216" i="18" s="1"/>
  <c r="S229" i="18"/>
  <c r="S231" i="18" s="1"/>
  <c r="U215" i="18"/>
  <c r="W224" i="18"/>
  <c r="D224" i="18" s="1"/>
  <c r="W229" i="18" l="1"/>
  <c r="W231" i="18" s="1"/>
  <c r="L232" i="18" s="1"/>
  <c r="I120" i="18"/>
  <c r="I667" i="18"/>
  <c r="I662" i="18"/>
  <c r="I658" i="18"/>
  <c r="I649" i="18"/>
  <c r="I645" i="18"/>
  <c r="I642" i="18"/>
  <c r="I638" i="18"/>
  <c r="I624" i="18"/>
  <c r="I620" i="18"/>
  <c r="I609" i="18"/>
  <c r="I605" i="18"/>
  <c r="I603" i="18"/>
  <c r="I594" i="18"/>
  <c r="I590" i="18"/>
  <c r="I588" i="18"/>
  <c r="I584" i="18"/>
  <c r="I582" i="18"/>
  <c r="I575" i="18"/>
  <c r="I545" i="18"/>
  <c r="I535" i="18"/>
  <c r="I531" i="18"/>
  <c r="I525" i="18"/>
  <c r="I518" i="18"/>
  <c r="I510" i="18"/>
  <c r="I506" i="18"/>
  <c r="I502" i="18"/>
  <c r="I496" i="18"/>
  <c r="I479" i="18"/>
  <c r="I469" i="18"/>
  <c r="I464" i="18"/>
  <c r="I466" i="18" s="1"/>
  <c r="I459" i="18"/>
  <c r="I451" i="18"/>
  <c r="I453" i="18" s="1"/>
  <c r="I455" i="18" s="1"/>
  <c r="I447" i="18"/>
  <c r="I429" i="18"/>
  <c r="I425" i="18"/>
  <c r="I407" i="18"/>
  <c r="I403" i="18"/>
  <c r="I400" i="18"/>
  <c r="I396" i="18"/>
  <c r="I393" i="18"/>
  <c r="I382" i="18"/>
  <c r="I370" i="18"/>
  <c r="I364" i="18"/>
  <c r="I347" i="18"/>
  <c r="I335" i="18"/>
  <c r="I330" i="18"/>
  <c r="I310" i="18"/>
  <c r="I306" i="18"/>
  <c r="I286" i="18"/>
  <c r="I267" i="18"/>
  <c r="I249" i="18"/>
  <c r="I245" i="18"/>
  <c r="I235" i="18"/>
  <c r="I205" i="18"/>
  <c r="I202" i="18"/>
  <c r="I187" i="18"/>
  <c r="I173" i="18"/>
  <c r="I163" i="18"/>
  <c r="I153" i="18"/>
  <c r="I148" i="18"/>
  <c r="I144" i="18"/>
  <c r="I142" i="18"/>
  <c r="I124" i="18"/>
  <c r="I116" i="18"/>
  <c r="I100" i="18"/>
  <c r="I88" i="18"/>
  <c r="I80" i="18"/>
  <c r="I52" i="18"/>
  <c r="I43" i="18"/>
  <c r="I20" i="18"/>
  <c r="L668" i="18"/>
  <c r="L659" i="18"/>
  <c r="L646" i="18"/>
  <c r="L639" i="18"/>
  <c r="L621" i="18"/>
  <c r="I576" i="18"/>
  <c r="I578" i="18" s="1"/>
  <c r="I562" i="18"/>
  <c r="L532" i="18"/>
  <c r="I520" i="18"/>
  <c r="I519" i="18"/>
  <c r="I513" i="18"/>
  <c r="I512" i="18"/>
  <c r="I497" i="18"/>
  <c r="I485" i="18"/>
  <c r="I486" i="18" s="1"/>
  <c r="I474" i="18"/>
  <c r="I473" i="18"/>
  <c r="L456" i="18"/>
  <c r="L397" i="18"/>
  <c r="I388" i="18"/>
  <c r="L371" i="18"/>
  <c r="I356" i="18"/>
  <c r="I355" i="18"/>
  <c r="I354" i="18"/>
  <c r="I349" i="18"/>
  <c r="I338" i="18"/>
  <c r="I337" i="18"/>
  <c r="I321" i="18"/>
  <c r="I320" i="18"/>
  <c r="I319" i="18"/>
  <c r="I318" i="18"/>
  <c r="I317" i="18"/>
  <c r="I316" i="18"/>
  <c r="I315" i="18"/>
  <c r="I314" i="18"/>
  <c r="I313" i="18"/>
  <c r="I312" i="18"/>
  <c r="L307" i="18"/>
  <c r="I288" i="18"/>
  <c r="I281" i="18"/>
  <c r="I269" i="18"/>
  <c r="I259" i="18"/>
  <c r="I257" i="18"/>
  <c r="I256" i="18"/>
  <c r="I254" i="18"/>
  <c r="I253" i="18"/>
  <c r="I252" i="18"/>
  <c r="I251" i="18"/>
  <c r="I250" i="18"/>
  <c r="L246" i="18"/>
  <c r="I189" i="18"/>
  <c r="I177" i="18"/>
  <c r="I168" i="18"/>
  <c r="L154" i="18"/>
  <c r="I137" i="18"/>
  <c r="L121" i="18"/>
  <c r="I104" i="18"/>
  <c r="I101" i="18"/>
  <c r="I93" i="18"/>
  <c r="I92" i="18"/>
  <c r="I91" i="18"/>
  <c r="I82" i="18"/>
  <c r="I81" i="18"/>
  <c r="I47" i="18"/>
  <c r="I46" i="18"/>
  <c r="I38" i="18"/>
  <c r="I35" i="18"/>
  <c r="I33" i="18"/>
  <c r="I32" i="18"/>
  <c r="I31" i="18"/>
  <c r="I29" i="18"/>
  <c r="I28" i="18"/>
  <c r="I26" i="18"/>
  <c r="I23" i="18"/>
  <c r="I21" i="18"/>
  <c r="L77" i="18" l="1"/>
  <c r="I53" i="18"/>
  <c r="I76" i="18" s="1"/>
  <c r="I287" i="18"/>
  <c r="I289" i="18" s="1"/>
  <c r="L390" i="18"/>
  <c r="L17" i="18"/>
  <c r="I15" i="18"/>
  <c r="L572" i="18"/>
  <c r="I560" i="18"/>
  <c r="I571" i="18" s="1"/>
  <c r="I111" i="18"/>
  <c r="I105" i="18" s="1"/>
  <c r="I112" i="18" s="1"/>
  <c r="L139" i="18"/>
  <c r="I126" i="18"/>
  <c r="I138" i="18" s="1"/>
  <c r="L600" i="18"/>
  <c r="I598" i="18"/>
  <c r="I599" i="18" s="1"/>
  <c r="I383" i="18"/>
  <c r="I389" i="18" s="1"/>
  <c r="I410" i="18"/>
  <c r="I415" i="18" s="1"/>
  <c r="I84" i="18"/>
  <c r="L487" i="18"/>
  <c r="L170" i="18"/>
  <c r="I169" i="18"/>
  <c r="L199" i="18"/>
  <c r="I198" i="18"/>
  <c r="L344" i="18"/>
  <c r="I343" i="18"/>
  <c r="L476" i="18"/>
  <c r="I475" i="18"/>
  <c r="L522" i="18"/>
  <c r="I521" i="18"/>
  <c r="I322" i="18"/>
  <c r="I324" i="18" s="1"/>
  <c r="I331" i="18" s="1"/>
  <c r="L283" i="18"/>
  <c r="I280" i="18"/>
  <c r="I282" i="18" s="1"/>
  <c r="I498" i="18"/>
  <c r="L515" i="18"/>
  <c r="I514" i="18"/>
  <c r="L49" i="18"/>
  <c r="L184" i="18"/>
  <c r="I183" i="18"/>
  <c r="L416" i="18"/>
  <c r="I215" i="18"/>
  <c r="I360" i="18"/>
  <c r="L40" i="18"/>
  <c r="L97" i="18"/>
  <c r="L264" i="18"/>
  <c r="L332" i="18"/>
  <c r="I48" i="18"/>
  <c r="I263" i="18"/>
  <c r="L85" i="18"/>
  <c r="L361" i="18"/>
  <c r="I39" i="18"/>
  <c r="I96" i="18"/>
  <c r="L113" i="18"/>
  <c r="I16" i="18" l="1"/>
  <c r="X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X69" i="19"/>
  <c r="X70" i="19" s="1"/>
  <c r="V69" i="19"/>
  <c r="V70" i="19" s="1"/>
  <c r="U69" i="19"/>
  <c r="U70" i="19" s="1"/>
  <c r="T69" i="19"/>
  <c r="T70" i="19" s="1"/>
  <c r="S69" i="19"/>
  <c r="S70" i="19" s="1"/>
  <c r="R69" i="19"/>
  <c r="R70" i="19" s="1"/>
  <c r="Q69" i="19"/>
  <c r="Q70" i="19" s="1"/>
  <c r="P69" i="19"/>
  <c r="P70" i="19" s="1"/>
  <c r="O69" i="19"/>
  <c r="O70" i="19" s="1"/>
  <c r="N69" i="19"/>
  <c r="N70" i="19" s="1"/>
  <c r="M69" i="19"/>
  <c r="M70" i="19" s="1"/>
  <c r="L69" i="19"/>
  <c r="L70" i="19" s="1"/>
  <c r="K69" i="19"/>
  <c r="K70" i="19" s="1"/>
  <c r="J69" i="19"/>
  <c r="J70" i="19" s="1"/>
  <c r="I69" i="19"/>
  <c r="I70" i="19" s="1"/>
  <c r="H69" i="19"/>
  <c r="H70" i="19" s="1"/>
  <c r="W66" i="19"/>
  <c r="Y66" i="19" s="1"/>
  <c r="W65" i="19"/>
  <c r="Y65" i="19" s="1"/>
  <c r="W64" i="19"/>
  <c r="Y64" i="19" s="1"/>
  <c r="W63" i="19"/>
  <c r="Y63" i="19" s="1"/>
  <c r="W62" i="19"/>
  <c r="Y62" i="19" s="1"/>
  <c r="W61" i="19"/>
  <c r="Y61" i="19" s="1"/>
  <c r="W60" i="19"/>
  <c r="Y60" i="19" s="1"/>
  <c r="W59" i="19"/>
  <c r="Y59" i="19" s="1"/>
  <c r="W58" i="19"/>
  <c r="Y58" i="19" s="1"/>
  <c r="W57" i="19"/>
  <c r="Y57" i="19" s="1"/>
  <c r="W56" i="19"/>
  <c r="Y56" i="19" s="1"/>
  <c r="W55" i="19"/>
  <c r="Y55" i="19" s="1"/>
  <c r="W54" i="19"/>
  <c r="Y54" i="19" s="1"/>
  <c r="W53" i="19"/>
  <c r="Y53" i="19" s="1"/>
  <c r="W52" i="19"/>
  <c r="Y52" i="19" s="1"/>
  <c r="W51" i="19"/>
  <c r="Y51" i="19" s="1"/>
  <c r="W50" i="19"/>
  <c r="Y50" i="19" s="1"/>
  <c r="W49" i="19"/>
  <c r="W48" i="19"/>
  <c r="X47" i="19"/>
  <c r="X67" i="19" s="1"/>
  <c r="V47" i="19"/>
  <c r="V67" i="19" s="1"/>
  <c r="T47" i="19"/>
  <c r="T67" i="19" s="1"/>
  <c r="S47" i="19"/>
  <c r="S67" i="19" s="1"/>
  <c r="R47" i="19"/>
  <c r="R67" i="19" s="1"/>
  <c r="Q47" i="19"/>
  <c r="Q67" i="19" s="1"/>
  <c r="O47" i="19"/>
  <c r="O67" i="19" s="1"/>
  <c r="M47" i="19"/>
  <c r="M67" i="19" s="1"/>
  <c r="L47" i="19"/>
  <c r="L67" i="19" s="1"/>
  <c r="K47" i="19"/>
  <c r="K67" i="19" s="1"/>
  <c r="I47" i="19"/>
  <c r="I67" i="19" s="1"/>
  <c r="W46" i="19"/>
  <c r="Y46" i="19" s="1"/>
  <c r="W45" i="19"/>
  <c r="Y45" i="19" s="1"/>
  <c r="X36" i="19"/>
  <c r="V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X34" i="19"/>
  <c r="X35" i="19" s="1"/>
  <c r="V34" i="19"/>
  <c r="V35" i="19" s="1"/>
  <c r="U34" i="19"/>
  <c r="U35" i="19" s="1"/>
  <c r="T34" i="19"/>
  <c r="T35" i="19" s="1"/>
  <c r="S34" i="19"/>
  <c r="S35" i="19" s="1"/>
  <c r="R34" i="19"/>
  <c r="R35" i="19" s="1"/>
  <c r="Q34" i="19"/>
  <c r="Q35" i="19" s="1"/>
  <c r="P34" i="19"/>
  <c r="P35" i="19" s="1"/>
  <c r="O34" i="19"/>
  <c r="O35" i="19" s="1"/>
  <c r="N34" i="19"/>
  <c r="N35" i="19" s="1"/>
  <c r="M34" i="19"/>
  <c r="M35" i="19" s="1"/>
  <c r="L34" i="19"/>
  <c r="L35" i="19" s="1"/>
  <c r="K34" i="19"/>
  <c r="K35" i="19" s="1"/>
  <c r="J34" i="19"/>
  <c r="J35" i="19" s="1"/>
  <c r="I34" i="19"/>
  <c r="I35" i="19" s="1"/>
  <c r="H34" i="19"/>
  <c r="H35" i="19" s="1"/>
  <c r="W31" i="19"/>
  <c r="Y31" i="19" s="1"/>
  <c r="U30" i="19"/>
  <c r="U36" i="19" s="1"/>
  <c r="W29" i="19"/>
  <c r="Y29" i="19" s="1"/>
  <c r="W28" i="19"/>
  <c r="Y28" i="19" s="1"/>
  <c r="W27" i="19"/>
  <c r="Y27" i="19" s="1"/>
  <c r="W26" i="19"/>
  <c r="Y26" i="19" s="1"/>
  <c r="W25" i="19"/>
  <c r="Y25" i="19" s="1"/>
  <c r="W24" i="19"/>
  <c r="Y24" i="19" s="1"/>
  <c r="W23" i="19"/>
  <c r="Y23" i="19" s="1"/>
  <c r="W22" i="19"/>
  <c r="Y22" i="19" s="1"/>
  <c r="W21" i="19"/>
  <c r="Y21" i="19" s="1"/>
  <c r="W20" i="19"/>
  <c r="Y20" i="19" s="1"/>
  <c r="W19" i="19"/>
  <c r="Y19" i="19" s="1"/>
  <c r="W18" i="19"/>
  <c r="Y18" i="19" s="1"/>
  <c r="W17" i="19"/>
  <c r="Y17" i="19" s="1"/>
  <c r="W16" i="19"/>
  <c r="Y16" i="19" s="1"/>
  <c r="W15" i="19"/>
  <c r="Y15" i="19" s="1"/>
  <c r="W14" i="19"/>
  <c r="W13" i="19"/>
  <c r="X12" i="19"/>
  <c r="X32" i="19" s="1"/>
  <c r="V12" i="19"/>
  <c r="V32" i="19" s="1"/>
  <c r="U12" i="19"/>
  <c r="U32" i="19" s="1"/>
  <c r="U44" i="19" s="1"/>
  <c r="U92" i="19" s="1"/>
  <c r="T12" i="19"/>
  <c r="T32" i="19" s="1"/>
  <c r="S12" i="19"/>
  <c r="S32" i="19" s="1"/>
  <c r="R12" i="19"/>
  <c r="R32" i="19" s="1"/>
  <c r="Q12" i="19"/>
  <c r="Q32" i="19" s="1"/>
  <c r="P12" i="19"/>
  <c r="P32" i="19" s="1"/>
  <c r="P44" i="19" s="1"/>
  <c r="P92" i="19" s="1"/>
  <c r="O12" i="19"/>
  <c r="O32" i="19" s="1"/>
  <c r="N12" i="19"/>
  <c r="N32" i="19" s="1"/>
  <c r="N44" i="19" s="1"/>
  <c r="N92" i="19" s="1"/>
  <c r="M12" i="19"/>
  <c r="M32" i="19" s="1"/>
  <c r="L12" i="19"/>
  <c r="L32" i="19" s="1"/>
  <c r="K12" i="19"/>
  <c r="K32" i="19" s="1"/>
  <c r="J12" i="19"/>
  <c r="J32" i="19" s="1"/>
  <c r="J44" i="19" s="1"/>
  <c r="J92" i="19" s="1"/>
  <c r="I12" i="19"/>
  <c r="I32" i="19" s="1"/>
  <c r="H12" i="19"/>
  <c r="H32" i="19" s="1"/>
  <c r="H44" i="19" s="1"/>
  <c r="H92" i="19" s="1"/>
  <c r="W11" i="19"/>
  <c r="Y11" i="19" s="1"/>
  <c r="W10" i="19"/>
  <c r="Y10" i="19" s="1"/>
  <c r="W9" i="19"/>
  <c r="W69" i="19" l="1"/>
  <c r="P47" i="19"/>
  <c r="P67" i="19" s="1"/>
  <c r="Y49" i="19"/>
  <c r="U47" i="19"/>
  <c r="U67" i="19" s="1"/>
  <c r="W34" i="19"/>
  <c r="W35" i="19" s="1"/>
  <c r="J47" i="19"/>
  <c r="J67" i="19" s="1"/>
  <c r="N47" i="19"/>
  <c r="N67" i="19" s="1"/>
  <c r="Y14" i="19"/>
  <c r="Y34" i="19" s="1"/>
  <c r="W30" i="19"/>
  <c r="Y30" i="19" s="1"/>
  <c r="Y36" i="19" s="1"/>
  <c r="Y71" i="19"/>
  <c r="W70" i="19"/>
  <c r="W71" i="19"/>
  <c r="W12" i="19"/>
  <c r="H47" i="19"/>
  <c r="H67" i="19" s="1"/>
  <c r="W44" i="19"/>
  <c r="Y69" i="19"/>
  <c r="Y9" i="19"/>
  <c r="Y12" i="19" s="1"/>
  <c r="Y13" i="19"/>
  <c r="Y48" i="19"/>
  <c r="I11" i="11"/>
  <c r="I46" i="11"/>
  <c r="I33" i="11"/>
  <c r="I27" i="11"/>
  <c r="I18" i="11"/>
  <c r="I40" i="11"/>
  <c r="H46" i="11"/>
  <c r="H40" i="11"/>
  <c r="H27" i="11"/>
  <c r="H33" i="11"/>
  <c r="H18" i="11"/>
  <c r="H11" i="11"/>
  <c r="I97" i="1"/>
  <c r="I84" i="1"/>
  <c r="I77" i="1"/>
  <c r="M70" i="1"/>
  <c r="I35" i="1"/>
  <c r="I24" i="1"/>
  <c r="I7" i="1"/>
  <c r="I72" i="1"/>
  <c r="I90" i="1"/>
  <c r="H127" i="1"/>
  <c r="I127" i="1" s="1"/>
  <c r="H115" i="1"/>
  <c r="H97" i="1"/>
  <c r="H93" i="1"/>
  <c r="H90" i="1"/>
  <c r="H84" i="1"/>
  <c r="H77" i="1"/>
  <c r="I57" i="1"/>
  <c r="I50" i="1"/>
  <c r="H57" i="1"/>
  <c r="H50" i="1"/>
  <c r="H42" i="1"/>
  <c r="H40" i="1"/>
  <c r="I40" i="1" s="1"/>
  <c r="H35" i="1"/>
  <c r="H24" i="1"/>
  <c r="H14" i="1"/>
  <c r="H7" i="1"/>
  <c r="A2" i="21"/>
  <c r="K4" i="21"/>
  <c r="I23" i="22"/>
  <c r="Y70" i="19" l="1"/>
  <c r="W32" i="19"/>
  <c r="Y35" i="19"/>
  <c r="H6" i="1"/>
  <c r="H116" i="1"/>
  <c r="H104" i="1"/>
  <c r="I115" i="1"/>
  <c r="I104" i="1" s="1"/>
  <c r="H74" i="1"/>
  <c r="W36" i="19"/>
  <c r="H34" i="11"/>
  <c r="I26" i="22"/>
  <c r="I14" i="1"/>
  <c r="I6" i="1" s="1"/>
  <c r="H41" i="1"/>
  <c r="Y32" i="19"/>
  <c r="W47" i="19"/>
  <c r="W67" i="19" s="1"/>
  <c r="Y44" i="19"/>
  <c r="Z92" i="19" s="1"/>
  <c r="I47" i="11"/>
  <c r="I19" i="11"/>
  <c r="I34" i="11"/>
  <c r="H19" i="11"/>
  <c r="H47" i="11"/>
  <c r="I116" i="1"/>
  <c r="I41" i="1"/>
  <c r="L49" i="11" l="1"/>
  <c r="H69" i="1"/>
  <c r="M69" i="1" s="1"/>
  <c r="H132" i="1"/>
  <c r="Y47" i="19"/>
  <c r="Y67" i="19" s="1"/>
  <c r="Z115" i="19" s="1"/>
  <c r="Z117" i="19" s="1"/>
  <c r="I69" i="1"/>
  <c r="I49" i="11"/>
  <c r="I51" i="11" s="1"/>
  <c r="L50" i="11" s="1"/>
  <c r="H49" i="11"/>
  <c r="K49" i="11" s="1"/>
  <c r="H51" i="11" l="1"/>
  <c r="K51" i="11" s="1"/>
  <c r="H49" i="22" l="1"/>
  <c r="I49" i="22" s="1"/>
  <c r="I45" i="22" s="1"/>
  <c r="H45" i="22"/>
  <c r="H39" i="22"/>
  <c r="I39" i="22" s="1"/>
  <c r="I34" i="22" s="1"/>
  <c r="H34" i="22"/>
  <c r="H33" i="22"/>
  <c r="I33" i="22" s="1"/>
  <c r="H26" i="22"/>
  <c r="H23" i="22"/>
  <c r="H20" i="22"/>
  <c r="H15" i="22"/>
  <c r="H10" i="22"/>
  <c r="I10" i="22" s="1"/>
  <c r="H9" i="22"/>
  <c r="I9" i="22" s="1"/>
  <c r="H6" i="22"/>
  <c r="I6" i="22" s="1"/>
  <c r="I5" i="22" s="1"/>
  <c r="I57" i="22" s="1"/>
  <c r="H13" i="22" l="1"/>
  <c r="I15" i="22"/>
  <c r="I13" i="22" s="1"/>
  <c r="H17" i="22"/>
  <c r="H11" i="22" s="1"/>
  <c r="H58" i="22" s="1"/>
  <c r="M58" i="22" s="1"/>
  <c r="I20" i="22"/>
  <c r="I17" i="22" s="1"/>
  <c r="H5" i="22"/>
  <c r="H57" i="22" s="1"/>
  <c r="I11" i="22" l="1"/>
  <c r="I58" i="22" s="1"/>
  <c r="I61" i="22" s="1"/>
  <c r="H59" i="22"/>
  <c r="H65" i="22" s="1"/>
  <c r="M57" i="22"/>
  <c r="H61" i="22"/>
  <c r="H63" i="22" l="1"/>
  <c r="I59" i="22"/>
  <c r="H5" i="21"/>
  <c r="M65" i="22"/>
  <c r="N65" i="22"/>
  <c r="O65" i="22" l="1"/>
  <c r="I65" i="22"/>
  <c r="I63" i="22"/>
  <c r="O542" i="18"/>
  <c r="H540" i="18" s="1"/>
  <c r="H541" i="18" s="1"/>
  <c r="I95" i="1" l="1"/>
  <c r="I93" i="1" s="1"/>
  <c r="I74" i="1" s="1"/>
  <c r="I132" i="1" s="1"/>
  <c r="M132" i="1" s="1"/>
  <c r="I5" i="21"/>
  <c r="I540" i="18"/>
  <c r="I541" i="18" s="1"/>
  <c r="L542" i="18"/>
  <c r="J205" i="18"/>
  <c r="L205" i="18" s="1"/>
  <c r="J48" i="18" l="1"/>
  <c r="L48" i="18" s="1"/>
  <c r="J360" i="18"/>
  <c r="L360" i="18" s="1"/>
  <c r="J343" i="18"/>
  <c r="H157" i="19" l="1"/>
  <c r="N133" i="1" l="1"/>
  <c r="J642" i="18" l="1"/>
  <c r="L45" i="22" l="1"/>
  <c r="L198" i="18" s="1"/>
  <c r="L26" i="22"/>
  <c r="L23" i="22"/>
  <c r="L17" i="22"/>
  <c r="L13" i="22"/>
  <c r="L5" i="22"/>
  <c r="L11" i="22" l="1"/>
  <c r="L58" i="22" s="1"/>
  <c r="L57" i="22"/>
  <c r="L61" i="22" l="1"/>
  <c r="L59" i="22"/>
  <c r="L65" i="22" l="1"/>
  <c r="K5" i="21" s="1"/>
  <c r="L63" i="22"/>
  <c r="H24" i="21" l="1"/>
  <c r="K6" i="21"/>
  <c r="K24" i="21" s="1"/>
  <c r="K25" i="21" s="1"/>
  <c r="H25" i="21" l="1"/>
  <c r="J389" i="18" l="1"/>
  <c r="L389" i="18" s="1"/>
  <c r="J525" i="18" l="1"/>
  <c r="J531" i="18"/>
  <c r="L531" i="18" s="1"/>
  <c r="J582" i="18" l="1"/>
  <c r="J584" i="18"/>
  <c r="L584" i="18" s="1"/>
  <c r="J571" i="18" l="1"/>
  <c r="L571" i="18" s="1"/>
  <c r="J541" i="18"/>
  <c r="L541" i="18" s="1"/>
  <c r="J545" i="18"/>
  <c r="J502" i="18"/>
  <c r="J506" i="18"/>
  <c r="L506" i="18" s="1"/>
  <c r="J400" i="18" l="1"/>
  <c r="J393" i="18"/>
  <c r="J403" i="18"/>
  <c r="L403" i="18" s="1"/>
  <c r="J396" i="18"/>
  <c r="L396" i="18" s="1"/>
  <c r="J407" i="18"/>
  <c r="J382" i="18"/>
  <c r="L84" i="18" l="1"/>
  <c r="J39" i="18" l="1"/>
  <c r="L39" i="18" l="1"/>
  <c r="X154" i="19"/>
  <c r="V154" i="19"/>
  <c r="T154" i="19"/>
  <c r="S154" i="19"/>
  <c r="R154" i="19"/>
  <c r="Q154" i="19"/>
  <c r="P154" i="19"/>
  <c r="O154" i="19"/>
  <c r="N154" i="19"/>
  <c r="M154" i="19"/>
  <c r="L154" i="19"/>
  <c r="K154" i="19"/>
  <c r="J154" i="19"/>
  <c r="I154" i="19"/>
  <c r="H154" i="19"/>
  <c r="X152" i="19"/>
  <c r="X153" i="19" s="1"/>
  <c r="V152" i="19"/>
  <c r="V153" i="19" s="1"/>
  <c r="U152" i="19"/>
  <c r="U153" i="19" s="1"/>
  <c r="T152" i="19"/>
  <c r="T153" i="19" s="1"/>
  <c r="S152" i="19"/>
  <c r="S153" i="19" s="1"/>
  <c r="R152" i="19"/>
  <c r="R153" i="19" s="1"/>
  <c r="Q152" i="19"/>
  <c r="Q153" i="19" s="1"/>
  <c r="P152" i="19"/>
  <c r="P153" i="19" s="1"/>
  <c r="O152" i="19"/>
  <c r="O153" i="19" s="1"/>
  <c r="N152" i="19"/>
  <c r="N153" i="19" s="1"/>
  <c r="M152" i="19"/>
  <c r="M153" i="19" s="1"/>
  <c r="L152" i="19"/>
  <c r="L153" i="19" s="1"/>
  <c r="K152" i="19"/>
  <c r="K153" i="19" s="1"/>
  <c r="J152" i="19"/>
  <c r="J153" i="19" s="1"/>
  <c r="I152" i="19"/>
  <c r="I153" i="19" s="1"/>
  <c r="H152" i="19"/>
  <c r="H153" i="19" s="1"/>
  <c r="W149" i="19"/>
  <c r="Y149" i="19" s="1"/>
  <c r="W148" i="19"/>
  <c r="Y148" i="19" s="1"/>
  <c r="U154" i="19"/>
  <c r="W146" i="19"/>
  <c r="Y146" i="19" s="1"/>
  <c r="W145" i="19"/>
  <c r="Y145" i="19" s="1"/>
  <c r="W144" i="19"/>
  <c r="Y144" i="19" s="1"/>
  <c r="W143" i="19"/>
  <c r="Y143" i="19" s="1"/>
  <c r="W142" i="19"/>
  <c r="Y142" i="19" s="1"/>
  <c r="W141" i="19"/>
  <c r="W140" i="19"/>
  <c r="Y140" i="19" s="1"/>
  <c r="W139" i="19"/>
  <c r="Y139" i="19" s="1"/>
  <c r="W138" i="19"/>
  <c r="Y138" i="19" s="1"/>
  <c r="W137" i="19"/>
  <c r="Y137" i="19" s="1"/>
  <c r="W136" i="19"/>
  <c r="Y136" i="19" s="1"/>
  <c r="W135" i="19"/>
  <c r="Y135" i="19" s="1"/>
  <c r="W134" i="19"/>
  <c r="Y134" i="19" s="1"/>
  <c r="W133" i="19"/>
  <c r="W132" i="19"/>
  <c r="Y132" i="19" s="1"/>
  <c r="W131" i="19"/>
  <c r="X130" i="19"/>
  <c r="X150" i="19" s="1"/>
  <c r="V130" i="19"/>
  <c r="V150" i="19" s="1"/>
  <c r="W129" i="19"/>
  <c r="Y129" i="19" s="1"/>
  <c r="W128" i="19"/>
  <c r="Y128" i="19" s="1"/>
  <c r="X119" i="19"/>
  <c r="V119" i="19"/>
  <c r="U119" i="19"/>
  <c r="T119" i="19"/>
  <c r="S119" i="19"/>
  <c r="R119" i="19"/>
  <c r="Q119" i="19"/>
  <c r="P119" i="19"/>
  <c r="O119" i="19"/>
  <c r="N119" i="19"/>
  <c r="M119" i="19"/>
  <c r="L119" i="19"/>
  <c r="K119" i="19"/>
  <c r="J119" i="19"/>
  <c r="I119" i="19"/>
  <c r="H119" i="19"/>
  <c r="X117" i="19"/>
  <c r="X118" i="19" s="1"/>
  <c r="V117" i="19"/>
  <c r="V118" i="19" s="1"/>
  <c r="U117" i="19"/>
  <c r="U118" i="19" s="1"/>
  <c r="T117" i="19"/>
  <c r="T118" i="19" s="1"/>
  <c r="S117" i="19"/>
  <c r="S118" i="19" s="1"/>
  <c r="R117" i="19"/>
  <c r="R118" i="19" s="1"/>
  <c r="Q117" i="19"/>
  <c r="Q118" i="19" s="1"/>
  <c r="P117" i="19"/>
  <c r="P118" i="19" s="1"/>
  <c r="O117" i="19"/>
  <c r="O118" i="19" s="1"/>
  <c r="N117" i="19"/>
  <c r="N118" i="19" s="1"/>
  <c r="M117" i="19"/>
  <c r="M118" i="19" s="1"/>
  <c r="L117" i="19"/>
  <c r="L118" i="19" s="1"/>
  <c r="K117" i="19"/>
  <c r="K118" i="19" s="1"/>
  <c r="J117" i="19"/>
  <c r="J118" i="19" s="1"/>
  <c r="I117" i="19"/>
  <c r="I118" i="19" s="1"/>
  <c r="H117" i="19"/>
  <c r="H118" i="19" s="1"/>
  <c r="W114" i="19"/>
  <c r="Y114" i="19" s="1"/>
  <c r="W113" i="19"/>
  <c r="Y113" i="19" s="1"/>
  <c r="W112" i="19"/>
  <c r="Y112" i="19" s="1"/>
  <c r="W111" i="19"/>
  <c r="W110" i="19"/>
  <c r="Y110" i="19" s="1"/>
  <c r="W109" i="19"/>
  <c r="Y109" i="19" s="1"/>
  <c r="W108" i="19"/>
  <c r="Y108" i="19" s="1"/>
  <c r="W107" i="19"/>
  <c r="Y107" i="19" s="1"/>
  <c r="W106" i="19"/>
  <c r="Y106" i="19" s="1"/>
  <c r="W105" i="19"/>
  <c r="Y105" i="19" s="1"/>
  <c r="W104" i="19"/>
  <c r="Y104" i="19" s="1"/>
  <c r="W103" i="19"/>
  <c r="Y103" i="19" s="1"/>
  <c r="W102" i="19"/>
  <c r="Y102" i="19" s="1"/>
  <c r="W101" i="19"/>
  <c r="Y101" i="19" s="1"/>
  <c r="W100" i="19"/>
  <c r="Y100" i="19" s="1"/>
  <c r="W99" i="19"/>
  <c r="Y99" i="19" s="1"/>
  <c r="W98" i="19"/>
  <c r="Y98" i="19" s="1"/>
  <c r="W97" i="19"/>
  <c r="Y97" i="19" s="1"/>
  <c r="W96" i="19"/>
  <c r="X95" i="19"/>
  <c r="X115" i="19" s="1"/>
  <c r="V95" i="19"/>
  <c r="V115" i="19" s="1"/>
  <c r="U95" i="19"/>
  <c r="U115" i="19" s="1"/>
  <c r="U127" i="19" s="1"/>
  <c r="T95" i="19"/>
  <c r="T115" i="19" s="1"/>
  <c r="S95" i="19"/>
  <c r="S115" i="19" s="1"/>
  <c r="S130" i="19" s="1"/>
  <c r="S150" i="19" s="1"/>
  <c r="R95" i="19"/>
  <c r="R115" i="19" s="1"/>
  <c r="R127" i="19" s="1"/>
  <c r="R130" i="19" s="1"/>
  <c r="R150" i="19" s="1"/>
  <c r="Q95" i="19"/>
  <c r="Q115" i="19" s="1"/>
  <c r="Q127" i="19" s="1"/>
  <c r="Q130" i="19" s="1"/>
  <c r="Q150" i="19" s="1"/>
  <c r="P95" i="19"/>
  <c r="P115" i="19" s="1"/>
  <c r="O95" i="19"/>
  <c r="O115" i="19" s="1"/>
  <c r="O127" i="19" s="1"/>
  <c r="O130" i="19" s="1"/>
  <c r="O150" i="19" s="1"/>
  <c r="N95" i="19"/>
  <c r="N115" i="19" s="1"/>
  <c r="M95" i="19"/>
  <c r="M115" i="19" s="1"/>
  <c r="M127" i="19" s="1"/>
  <c r="M130" i="19" s="1"/>
  <c r="M150" i="19" s="1"/>
  <c r="L95" i="19"/>
  <c r="L115" i="19" s="1"/>
  <c r="L127" i="19" s="1"/>
  <c r="L130" i="19" s="1"/>
  <c r="L150" i="19" s="1"/>
  <c r="K95" i="19"/>
  <c r="K115" i="19" s="1"/>
  <c r="K127" i="19" s="1"/>
  <c r="K130" i="19" s="1"/>
  <c r="K150" i="19" s="1"/>
  <c r="J95" i="19"/>
  <c r="J115" i="19" s="1"/>
  <c r="I95" i="19"/>
  <c r="I115" i="19" s="1"/>
  <c r="I127" i="19" s="1"/>
  <c r="I130" i="19" s="1"/>
  <c r="I150" i="19" s="1"/>
  <c r="H95" i="19"/>
  <c r="H115" i="19" s="1"/>
  <c r="H127" i="19" s="1"/>
  <c r="W94" i="19"/>
  <c r="Y94" i="19" s="1"/>
  <c r="W93" i="19"/>
  <c r="Y93" i="19" s="1"/>
  <c r="W92" i="19"/>
  <c r="T130" i="19" l="1"/>
  <c r="T150" i="19" s="1"/>
  <c r="P127" i="19"/>
  <c r="P130" i="19" s="1"/>
  <c r="P150" i="19" s="1"/>
  <c r="N127" i="19"/>
  <c r="N130" i="19" s="1"/>
  <c r="N150" i="19" s="1"/>
  <c r="J127" i="19"/>
  <c r="J130" i="19" s="1"/>
  <c r="J150" i="19" s="1"/>
  <c r="W95" i="19"/>
  <c r="W115" i="19" s="1"/>
  <c r="W117" i="19"/>
  <c r="W118" i="19" s="1"/>
  <c r="W119" i="19"/>
  <c r="Y111" i="19"/>
  <c r="Y119" i="19" s="1"/>
  <c r="U130" i="19"/>
  <c r="U150" i="19" s="1"/>
  <c r="W152" i="19"/>
  <c r="W153" i="19" s="1"/>
  <c r="H130" i="19"/>
  <c r="H150" i="19" s="1"/>
  <c r="Y117" i="19"/>
  <c r="Y131" i="19"/>
  <c r="Y133" i="19"/>
  <c r="Y152" i="19" s="1"/>
  <c r="Y141" i="19"/>
  <c r="W147" i="19"/>
  <c r="Y147" i="19" s="1"/>
  <c r="Y92" i="19"/>
  <c r="Y95" i="19" s="1"/>
  <c r="Y96" i="19"/>
  <c r="Y118" i="19" l="1"/>
  <c r="W127" i="19"/>
  <c r="W130" i="19" s="1"/>
  <c r="W150" i="19" s="1"/>
  <c r="Y154" i="19"/>
  <c r="W154" i="19"/>
  <c r="Y115" i="19"/>
  <c r="Y153" i="19"/>
  <c r="Y127" i="19" l="1"/>
  <c r="Y130" i="19" s="1"/>
  <c r="Y150" i="19" s="1"/>
  <c r="J667" i="18"/>
  <c r="L667" i="18" s="1"/>
  <c r="J662" i="18"/>
  <c r="J649" i="18"/>
  <c r="J645" i="18"/>
  <c r="L645" i="18" s="1"/>
  <c r="J624" i="18"/>
  <c r="J620" i="18"/>
  <c r="L620" i="18" s="1"/>
  <c r="J609" i="18"/>
  <c r="J605" i="18"/>
  <c r="L605" i="18" s="1"/>
  <c r="J603" i="18"/>
  <c r="J599" i="18"/>
  <c r="L599" i="18" s="1"/>
  <c r="J594" i="18"/>
  <c r="J590" i="18"/>
  <c r="L590" i="18" s="1"/>
  <c r="J588" i="18"/>
  <c r="J578" i="18"/>
  <c r="L578" i="18" s="1"/>
  <c r="J575" i="18"/>
  <c r="J535" i="18"/>
  <c r="J521" i="18"/>
  <c r="L521" i="18" s="1"/>
  <c r="J518" i="18"/>
  <c r="J510" i="18"/>
  <c r="J498" i="18"/>
  <c r="L498" i="18" s="1"/>
  <c r="J496" i="18"/>
  <c r="J486" i="18"/>
  <c r="L486" i="18" s="1"/>
  <c r="J479" i="18"/>
  <c r="J475" i="18"/>
  <c r="L475" i="18" s="1"/>
  <c r="J469" i="18"/>
  <c r="J464" i="18"/>
  <c r="J466" i="18" s="1"/>
  <c r="L466" i="18" s="1"/>
  <c r="J459" i="18"/>
  <c r="J453" i="18"/>
  <c r="J455" i="18" s="1"/>
  <c r="L455" i="18" s="1"/>
  <c r="J447" i="18"/>
  <c r="J429" i="18"/>
  <c r="J425" i="18"/>
  <c r="J415" i="18"/>
  <c r="L415" i="18" s="1"/>
  <c r="J370" i="18"/>
  <c r="L370" i="18" s="1"/>
  <c r="J364" i="18"/>
  <c r="J347" i="18"/>
  <c r="J335" i="18"/>
  <c r="J310" i="18"/>
  <c r="J289" i="18"/>
  <c r="J286" i="18"/>
  <c r="J280" i="18"/>
  <c r="J282" i="18" s="1"/>
  <c r="L282" i="18" s="1"/>
  <c r="J267" i="18"/>
  <c r="J249" i="18"/>
  <c r="J245" i="18"/>
  <c r="J235" i="18"/>
  <c r="D229" i="18"/>
  <c r="D231" i="18" s="1"/>
  <c r="F219" i="18"/>
  <c r="D219" i="18"/>
  <c r="F215" i="18"/>
  <c r="D215" i="18"/>
  <c r="F209" i="18"/>
  <c r="D209" i="18"/>
  <c r="J202" i="18"/>
  <c r="J187" i="18"/>
  <c r="J183" i="18"/>
  <c r="L183" i="18" s="1"/>
  <c r="J173" i="18"/>
  <c r="J163" i="18"/>
  <c r="J153" i="18"/>
  <c r="L153" i="18" s="1"/>
  <c r="J148" i="18"/>
  <c r="J144" i="18"/>
  <c r="J142" i="18"/>
  <c r="L138" i="18"/>
  <c r="J124" i="18"/>
  <c r="J120" i="18"/>
  <c r="L120" i="18" s="1"/>
  <c r="J116" i="18"/>
  <c r="J100" i="18"/>
  <c r="J96" i="18"/>
  <c r="L96" i="18" s="1"/>
  <c r="J88" i="18"/>
  <c r="J80" i="18"/>
  <c r="J52" i="18"/>
  <c r="J43" i="18"/>
  <c r="J20" i="18"/>
  <c r="J16" i="18"/>
  <c r="L16" i="18" l="1"/>
  <c r="L245" i="18"/>
  <c r="F226" i="18"/>
  <c r="J226" i="18" s="1"/>
  <c r="J263" i="18"/>
  <c r="L263" i="18" s="1"/>
  <c r="J306" i="18"/>
  <c r="L306" i="18" s="1"/>
  <c r="L76" i="18"/>
  <c r="L169" i="18"/>
  <c r="J322" i="18"/>
  <c r="J324" i="18" s="1"/>
  <c r="J331" i="18" s="1"/>
  <c r="L331" i="18" s="1"/>
  <c r="J514" i="18"/>
  <c r="L514" i="18" s="1"/>
  <c r="J215" i="18"/>
  <c r="J229" i="18" l="1"/>
  <c r="J231" i="18" s="1"/>
  <c r="F229" i="18"/>
  <c r="F231" i="18" s="1"/>
  <c r="L24" i="1"/>
  <c r="L84" i="1" l="1"/>
  <c r="H72" i="1" l="1"/>
  <c r="L116" i="1" l="1"/>
  <c r="L104" i="1"/>
  <c r="L97" i="1"/>
  <c r="L429" i="18" s="1"/>
  <c r="L93" i="1"/>
  <c r="L90" i="1"/>
  <c r="L77" i="1"/>
  <c r="L57" i="1"/>
  <c r="L50" i="1"/>
  <c r="L42" i="1"/>
  <c r="L343" i="18" s="1"/>
  <c r="L35" i="1"/>
  <c r="L14" i="1"/>
  <c r="L231" i="18" s="1"/>
  <c r="L7" i="1"/>
  <c r="L215" i="18" s="1"/>
  <c r="L74" i="1" l="1"/>
  <c r="L132" i="1" s="1"/>
  <c r="L41" i="1"/>
  <c r="L6" i="1"/>
  <c r="L69" i="1" l="1"/>
  <c r="N132" i="1" s="1"/>
  <c r="L72" i="1" l="1"/>
  <c r="L638" i="18" l="1"/>
  <c r="J105" i="18"/>
  <c r="J112" i="18" l="1"/>
  <c r="L112" i="18" s="1"/>
  <c r="I6" i="21" l="1"/>
  <c r="I24" i="21" s="1"/>
  <c r="I25" i="21" s="1"/>
</calcChain>
</file>

<file path=xl/comments1.xml><?xml version="1.0" encoding="utf-8"?>
<comments xmlns="http://schemas.openxmlformats.org/spreadsheetml/2006/main">
  <authors>
    <author>Renato Jurina</author>
    <author>Nataša Godler</author>
  </authors>
  <commentList>
    <comment ref="H176" authorId="0" shapeId="0">
      <text>
        <r>
          <rPr>
            <b/>
            <sz val="9"/>
            <color indexed="81"/>
            <rFont val="Tahoma"/>
            <family val="2"/>
            <charset val="238"/>
          </rPr>
          <t>Renato Jurina:</t>
        </r>
        <r>
          <rPr>
            <sz val="9"/>
            <color indexed="81"/>
            <rFont val="Tahoma"/>
            <family val="2"/>
            <charset val="238"/>
          </rPr>
          <t xml:space="preserve">
Netirano sa rashodima od tečajnih razlika u ukupnom iznosu za:
- 2021 - 43.088.730
-2022 - 664.535.525</t>
        </r>
      </text>
    </comment>
    <comment ref="J176" authorId="0" shapeId="0">
      <text>
        <r>
          <rPr>
            <b/>
            <sz val="9"/>
            <color indexed="81"/>
            <rFont val="Tahoma"/>
            <family val="2"/>
            <charset val="238"/>
          </rPr>
          <t>Renato Jurina:</t>
        </r>
        <r>
          <rPr>
            <sz val="9"/>
            <color indexed="81"/>
            <rFont val="Tahoma"/>
            <family val="2"/>
            <charset val="238"/>
          </rPr>
          <t xml:space="preserve">
Netirano sa rashodima od tečajnih razlika u ukupnom iznosu za:
- 2021 - 43.088.730
-2022 - 664.535.525</t>
        </r>
      </text>
    </comment>
    <comment ref="H177" authorId="0" shapeId="0">
      <text>
        <r>
          <rPr>
            <b/>
            <sz val="9"/>
            <color indexed="81"/>
            <rFont val="Tahoma"/>
            <family val="2"/>
            <charset val="238"/>
          </rPr>
          <t>Renato Jurina:</t>
        </r>
        <r>
          <rPr>
            <sz val="9"/>
            <color indexed="81"/>
            <rFont val="Tahoma"/>
            <family val="2"/>
            <charset val="238"/>
          </rPr>
          <t xml:space="preserve">
Netirano sa rashodima od tečajnih razlika u iznosu:
-2022 - 839.174
-2021 - nije bilo prihoda od tečajnih razlika unutar grupe
</t>
        </r>
      </text>
    </comment>
    <comment ref="H189" authorId="0" shapeId="0">
      <text>
        <r>
          <rPr>
            <b/>
            <sz val="9"/>
            <color indexed="81"/>
            <rFont val="Tahoma"/>
            <family val="2"/>
            <charset val="238"/>
          </rPr>
          <t>Renato Jurina:</t>
        </r>
        <r>
          <rPr>
            <sz val="9"/>
            <color indexed="81"/>
            <rFont val="Tahoma"/>
            <family val="2"/>
            <charset val="238"/>
          </rPr>
          <t xml:space="preserve">
Netirano sa rashodima od tečajnih razlika u ukupnom iznosu za:
- 2021 - 43.088.730
-2022 - 664.535.525</t>
        </r>
      </text>
    </comment>
    <comment ref="H193" authorId="0" shapeId="0">
      <text>
        <r>
          <rPr>
            <b/>
            <sz val="9"/>
            <color indexed="81"/>
            <rFont val="Tahoma"/>
            <family val="2"/>
            <charset val="238"/>
          </rPr>
          <t>Renato Jurina:</t>
        </r>
        <r>
          <rPr>
            <sz val="9"/>
            <color indexed="81"/>
            <rFont val="Tahoma"/>
            <family val="2"/>
            <charset val="238"/>
          </rPr>
          <t xml:space="preserve">
Netirano sa prihodima od tečajnih razlika u iznosu:
-2022 - 839.174</t>
        </r>
      </text>
    </comment>
    <comment ref="H220" authorId="1" shapeId="0">
      <text>
        <r>
          <rPr>
            <b/>
            <sz val="9"/>
            <color indexed="81"/>
            <rFont val="Tahoma"/>
            <family val="2"/>
            <charset val="238"/>
          </rPr>
          <t>Nataša Godler:</t>
        </r>
        <r>
          <rPr>
            <sz val="9"/>
            <color indexed="81"/>
            <rFont val="Tahoma"/>
            <family val="2"/>
            <charset val="238"/>
          </rPr>
          <t xml:space="preserve">
Kolona će biti skrivena</t>
        </r>
      </text>
    </comment>
  </commentList>
</comments>
</file>

<file path=xl/sharedStrings.xml><?xml version="1.0" encoding="utf-8"?>
<sst xmlns="http://schemas.openxmlformats.org/spreadsheetml/2006/main" count="1798" uniqueCount="1141">
  <si>
    <t>Naziv pozicije</t>
  </si>
  <si>
    <t>AKTIVA</t>
  </si>
  <si>
    <t>A)  POTRAŽIVANJA ZA UPISANI A NEUPLAĆENI KAPITAL</t>
  </si>
  <si>
    <t xml:space="preserve">    1. Izdaci za razvoj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</si>
  <si>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</si>
  <si>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</si>
  <si>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</si>
  <si>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</si>
  <si>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</si>
  <si>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</si>
  <si>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</si>
  <si>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</si>
  <si>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</si>
  <si>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</si>
  <si>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</si>
  <si>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</si>
  <si>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</si>
  <si>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</si>
  <si>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</si>
  <si>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</si>
  <si>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</si>
  <si>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</si>
  <si>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</si>
  <si>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</si>
  <si>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</si>
  <si>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</si>
  <si>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</si>
  <si>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</si>
  <si>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</si>
  <si>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</si>
  <si>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</si>
  <si>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</si>
  <si>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</si>
  <si>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</si>
  <si>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</si>
  <si>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</si>
  <si>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</si>
  <si>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</si>
  <si>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</si>
  <si>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</si>
  <si>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</si>
  <si>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</si>
  <si>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 xml:space="preserve">     9. Ostala financijska imovina</t>
  </si>
  <si>
    <t>IV. NOVAC U BANCI I BLAGAJNI</t>
  </si>
  <si>
    <t>F)  IZVANBILANČNI ZAPISI</t>
  </si>
  <si>
    <t>PASIVA</t>
  </si>
  <si>
    <t>I. TEMELJNI (UPISANI) KAPITAL</t>
  </si>
  <si>
    <t>II. KAPITALNE REZERVE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</si>
  <si>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</si>
  <si>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</si>
  <si>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</si>
  <si>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</si>
  <si>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</si>
  <si>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</si>
  <si>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 xml:space="preserve">     2. Učinkoviti dio zaštite novčanih tokova</t>
  </si>
  <si>
    <t xml:space="preserve">     3. Učinkoviti dio zaštite neto ulaganja u inozemstvu</t>
  </si>
  <si>
    <t xml:space="preserve">     1. Zadržana dobit</t>
  </si>
  <si>
    <t xml:space="preserve">     2. Preneseni gubitak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</si>
  <si>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</si>
  <si>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</si>
  <si>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</si>
  <si>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</si>
  <si>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</si>
  <si>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</si>
  <si>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</si>
  <si>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</si>
  <si>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</si>
  <si>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</si>
  <si>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</si>
  <si>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</si>
  <si>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</si>
  <si>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</si>
  <si>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</si>
  <si>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</si>
  <si>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</si>
  <si>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</si>
  <si>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</si>
  <si>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</si>
  <si>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</si>
  <si>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</si>
  <si>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</si>
  <si>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</si>
  <si>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G)  IZVANBILANČNI ZAPISI</t>
  </si>
  <si>
    <t>RAČUN DOBITI I GUBITKA</t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</si>
  <si>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</si>
  <si>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</si>
  <si>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</si>
  <si>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</si>
  <si>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</si>
  <si>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t xml:space="preserve">    1. Promjene vrijednosti zaliha proizvodnje u tijeku i gotovih proizvoda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</si>
  <si>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</si>
  <si>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</si>
  <si>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</si>
  <si>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</si>
  <si>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</si>
  <si>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</si>
  <si>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</si>
  <si>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</si>
  <si>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osim financijske imovine</t>
  </si>
  <si>
    <t xml:space="preserve">       b) kratkotrajne imovine osim financijske imovine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</si>
  <si>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</si>
  <si>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</si>
  <si>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</si>
  <si>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</si>
  <si>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</si>
  <si>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</si>
  <si>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</si>
  <si>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t xml:space="preserve">     1. Prihodi od ulaganja u udjele (dionice) poduzetnika unutar grupe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</si>
  <si>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</si>
  <si>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</si>
  <si>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</si>
  <si>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</si>
  <si>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</si>
  <si>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</si>
  <si>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</si>
  <si>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</si>
  <si>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</si>
  <si>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</si>
  <si>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</si>
  <si>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</si>
  <si>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</si>
  <si>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</si>
  <si>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</si>
  <si>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VI.   UDIO U DOBITI OD  ZAJEDNIČKIH POTHVATA</t>
  </si>
  <si>
    <t>VIII. UDIO U GUBITKU OD ZAJEDNIČKIH POTHVATA</t>
  </si>
  <si>
    <t>XII.  POREZ NA DOBIT</t>
  </si>
  <si>
    <t xml:space="preserve">I. DOBIT ILI GUBITAK RAZDOBLJA </t>
  </si>
  <si>
    <t>U</t>
  </si>
  <si>
    <t xml:space="preserve">    2. Koncesije, patenti, licencije, robne i uslužne marke, softver i ostala prava</t>
  </si>
  <si>
    <t xml:space="preserve">     4.Ulaganja u udjele (dionice) društava povezanih sudjelujućim interesom</t>
  </si>
  <si>
    <t xml:space="preserve">     5. Ulaganja u ostale vrijednosne papire društava povezanih sudjelujućim interesom</t>
  </si>
  <si>
    <t xml:space="preserve">     6. Dani zajmovi, depoziti i slično društvima povezanim sudjelujućim interesom</t>
  </si>
  <si>
    <t xml:space="preserve">     4. Ulaganja u udjele (dionice) društava povezanih sudjelujućim interesom</t>
  </si>
  <si>
    <t>D)  PLAĆENI TROŠKOVI BUDUĆEG RAZDOBLJA I OBRAČUNATI PRIHODI</t>
  </si>
  <si>
    <t xml:space="preserve">E)  UKUPNO AKTIVA </t>
  </si>
  <si>
    <t>III. KRATKOTRAJNA FINANCIJSKA IMOVINA</t>
  </si>
  <si>
    <t>II. POTRAŽIVANJA</t>
  </si>
  <si>
    <t>I. ZALIHE</t>
  </si>
  <si>
    <t>C)  KRATKOTRAJNA IMOVINA</t>
  </si>
  <si>
    <t>IV. POTRAŽIVANJA</t>
  </si>
  <si>
    <t>III. DUGOTRAJNA FINANCIJSKA IMOVINA</t>
  </si>
  <si>
    <t>II. MATERIJALNA IMOVINA</t>
  </si>
  <si>
    <t>I. NEMATERIJALNA IMOVINA</t>
  </si>
  <si>
    <t>B)  DUGOTRAJNA IMOVINA</t>
  </si>
  <si>
    <t>Bilj.</t>
  </si>
  <si>
    <t>A)  KAPITAL I REZERVE</t>
  </si>
  <si>
    <t>III. REZERVE IZ DOBITI</t>
  </si>
  <si>
    <t>VI. ZADRŽANA DOBIT ILI PRENESENI GUBITAK</t>
  </si>
  <si>
    <t xml:space="preserve">VII. DOBIT ILI GUBITAK POSLOVNE GODINE </t>
  </si>
  <si>
    <t>B)  REZERVIRANJA</t>
  </si>
  <si>
    <t>C)  DUGOROČNE OBVEZE</t>
  </si>
  <si>
    <t>D)  KRATKOROČNE OBVEZE</t>
  </si>
  <si>
    <t xml:space="preserve">F) UKUPNO – PASIVA </t>
  </si>
  <si>
    <t>I. POSLOVNI PRIHODI</t>
  </si>
  <si>
    <t>II. POSLOVNI RASHODI</t>
  </si>
  <si>
    <t xml:space="preserve">    2. Materijalni troškovi</t>
  </si>
  <si>
    <t xml:space="preserve">   3. Troškovi osoblja</t>
  </si>
  <si>
    <t xml:space="preserve">   6. Vrijednosna usklađenja</t>
  </si>
  <si>
    <t xml:space="preserve">   7. Rezerviranja</t>
  </si>
  <si>
    <t>III. FINANCIJSKI PRIHODI</t>
  </si>
  <si>
    <t>IV. FINANCIJSKI RASHODI</t>
  </si>
  <si>
    <t>IX.   UKUPNI PRIHODI</t>
  </si>
  <si>
    <t>X.    UKUPNI RASHODI</t>
  </si>
  <si>
    <t xml:space="preserve">XI.   DOBIT ILI GUBITAK PRIJE OPOREZIVANJA </t>
  </si>
  <si>
    <t xml:space="preserve">   1. Dobit prije oporezivanja</t>
  </si>
  <si>
    <t xml:space="preserve">   2. Gubitak prije oporezivanja</t>
  </si>
  <si>
    <t>XIII. DOBIT ILI GUBITAK RAZDOBLJA</t>
  </si>
  <si>
    <t xml:space="preserve">  1. Dobit razdoblja</t>
  </si>
  <si>
    <t xml:space="preserve">  2. Gubitak razdoblja</t>
  </si>
  <si>
    <t>IZVJEŠTAJ O OSTALOJ SVEOBUHVATNOJ DOBITI</t>
  </si>
  <si>
    <t>HRVATSKA ELEKTROPRIVREDA D.D., Ulica grada Vukovara 37, OIB: 28921978587</t>
  </si>
  <si>
    <t>u kunama</t>
  </si>
  <si>
    <t>E) ODGOĐENO PLAĆANJE TROŠKOVA I PRIHOD BUDUĆEGA RAZDOBLJA</t>
  </si>
  <si>
    <t xml:space="preserve">     4. Obveze za zajmove, depozite i slično društava povezanih sudjelujućim interesom</t>
  </si>
  <si>
    <t xml:space="preserve">     2. Prihodi od ulaganja u udjele (dionice) društava povezanih sudjelujućim interesima</t>
  </si>
  <si>
    <t>V.    UDIO U DOBITI OD DRUŠTAVA POVEZANIH SUDJELUJUĆIM INTERESOM</t>
  </si>
  <si>
    <t>VII.  UDIO U GUBITKU OD DRUŠTAVA POVEZANIH SUDJELUJUĆIM INTERESOM</t>
  </si>
  <si>
    <t>II. OSTALA SVEOBUHVATNA DOBIT/GUBITAK PRIJE POREZA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</si>
  <si>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</si>
  <si>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</si>
  <si>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</si>
  <si>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</si>
  <si>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</si>
  <si>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</si>
  <si>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</si>
  <si>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</si>
  <si>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</si>
  <si>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</si>
  <si>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</si>
  <si>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</si>
  <si>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</si>
  <si>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</si>
  <si>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</si>
  <si>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    4. Ostale rezerve fer vrijednosti</t>
  </si>
  <si>
    <t xml:space="preserve">     5. Tečajne razlike iz preračuna inozemnog poslovanja (konsolidacija)</t>
  </si>
  <si>
    <t>III. STAVKE KOJE NEĆE BITI REKLASIFICIRANE U DOBIT ILI GUBITAK</t>
  </si>
  <si>
    <t>1. Promjene revalorizacijskih rezervi dugotrajne materijalne i nematerijalne imovine</t>
  </si>
  <si>
    <t>2. Dobit ili gubitak s osnove naknadnog vrednovanja vlasničkih vrijednosnih papira po fer vrijednosti kroz ostalu sveobuhvatnu dobit</t>
  </si>
  <si>
    <t>3. Promjene fer vrijednosti financijske obveze po fer vrijednosti kroz račun dobiti i gubitka koja se može pripisati promjenama kreditnog rizika obveze</t>
  </si>
  <si>
    <t>4. Aktuarski dobici/gubici po planovima definiranih primanja</t>
  </si>
  <si>
    <t>6. Porez na dobit koji se odnosi na stavke koje neće biti reklasificirane</t>
  </si>
  <si>
    <t>5. Ostale stavke koje neće biti reklasificirane</t>
  </si>
  <si>
    <t>IV. STAVKE KOJE JE MOGUĆE REKLASIFICIRATI U DOBIT ILI GUBITAK</t>
  </si>
  <si>
    <t>7. Tečajne razlike iz preračuna inozemnog poslovanja</t>
  </si>
  <si>
    <t>8. Dobit ili gubitak s osnove naknadnog vrednovanja dužničkih vrijednosnih papira po fer vrijednostima kroz ostalu sveobuhvatnu dobit</t>
  </si>
  <si>
    <t>9. Dobit ili gubitak s osnove učinkovite zaštite novčanih tokova</t>
  </si>
  <si>
    <t>11. Udio u ostaloj sveobuhvatnoj dobiti/gubitku društava povezanih
     sudjelujućim  interesom</t>
  </si>
  <si>
    <t>10. Dobit ili gubitak s osnove učinkovite zaštite neto ulaganja u inozemstvo</t>
  </si>
  <si>
    <t>12. Promjene fer vrijednosti vremenske vrijednosti opcije</t>
  </si>
  <si>
    <t>13. Promjene fer vrijednosti terminskih elemenata terminskih ugovora</t>
  </si>
  <si>
    <t>14. Ostale stavke koje je moguće reklasificirati u dobit ili gubitak</t>
  </si>
  <si>
    <t>15. Porez na dobit koji se odnosi na stavke koje je moguće reklasificirati u dobit ili gubitak</t>
  </si>
  <si>
    <t>V. NETO OSTALA SVEOBUHVATNA DOBIT ILI GUBITAK</t>
  </si>
  <si>
    <t xml:space="preserve">VI. UKUPNA SVEOBUHVATNA DOBIT ILI GUBITAK RAZDOBLJA </t>
  </si>
  <si>
    <t>V. REZERVE FER VRIJEDNOSTI I OSTALO</t>
  </si>
  <si>
    <t xml:space="preserve">     1. Fer vrijednost financijske imovine kroz ostalu sveobuhvatnu dobit (odnosno raspoložive za prodaju)</t>
  </si>
  <si>
    <t>IZVJEŠTAJ O NOVČANIM TOKOVIMA - direktna metoda</t>
  </si>
  <si>
    <t>Novčani tokovi od poslovnih aktivnosti</t>
  </si>
  <si>
    <t>1. Novčani primici od kupaca</t>
  </si>
  <si>
    <t>2. Novčani primici od tantijema, naknada, provizija i sl.</t>
  </si>
  <si>
    <t>3. Novčani primici od osiguranja za naknadu šteta</t>
  </si>
  <si>
    <t>4. Novčani primici s osnove povrata poreza</t>
  </si>
  <si>
    <t>5. Ostali novčani primici od poslovnih aktivnosti</t>
  </si>
  <si>
    <t>I. Ukupno novčani primici od poslovnih aktivnosti</t>
  </si>
  <si>
    <t>5. Novčani izdaci dobavljačima</t>
  </si>
  <si>
    <t>6. Novčani izdaci za zaposlene</t>
  </si>
  <si>
    <t>7. Novčani izdaci za osiguranje za naknade šteta</t>
  </si>
  <si>
    <t>8. Novčani izdaci za kamate</t>
  </si>
  <si>
    <t>9. Plaćeni porez na dobit</t>
  </si>
  <si>
    <t>10. Ostali novčani izdaci od poslovnih aktivnosti</t>
  </si>
  <si>
    <t>II. Ukupno novčani izdaci od poslovnih aktivnosti</t>
  </si>
  <si>
    <t xml:space="preserve">A) NETO NOVČANI TOKOVI OD POSLOVNIH AKTIVNOSTI </t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</si>
  <si>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</si>
  <si>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</si>
  <si>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</si>
  <si>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</si>
  <si>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</si>
  <si>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Novčani primici s osnove povrata danih zajmova i štednih uloga</t>
  </si>
  <si>
    <t>6. Ostali novčani primici od investicijskih aktivnosti</t>
  </si>
  <si>
    <t>III. Ukupno novčani primici od investicijskih aktivnosti</t>
  </si>
  <si>
    <t>1. Novčani izdaci za kupnju dugotrajne materijalne i nematerijalne imovine</t>
  </si>
  <si>
    <t>2. Novčani izdaci za stjecanje financijskih instrumenata</t>
  </si>
  <si>
    <t>3. Novčani izdaci s osnove danih zajmova i štednih uloga</t>
  </si>
  <si>
    <t>4. Stjecanje ovisnog društva, umanjeno za stečeni novac</t>
  </si>
  <si>
    <t>5. Ostali novčani izdaci od investicijskih aktivnosti</t>
  </si>
  <si>
    <t>IV. Ukupno novčani izdaci od investicijskih aktivnosti</t>
  </si>
  <si>
    <t>B) NETO NOVČANI TOKOVI OD INVESTICIJSKIH AKTIVNOSTI</t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</si>
  <si>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</si>
  <si>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</si>
  <si>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</si>
  <si>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</si>
  <si>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</si>
  <si>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t>V. Ukupno novčani primici od financijskih aktivnosti</t>
  </si>
  <si>
    <t>1. Novčani izdaci za otplatu glavnice kredita, pozajmica i drugih posudbi i dužničkih financijskih instrumenata</t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</si>
  <si>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</si>
  <si>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</si>
  <si>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</si>
  <si>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</si>
  <si>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t>VI. Ukupno novčani izdaci od financijskih aktivnosti</t>
  </si>
  <si>
    <t>C) NETO NOVČANI TOKOVI OD FINANCIJSKIH AKTIVNOSTI</t>
  </si>
  <si>
    <t>1. Nerealizirane tečajne razlike po novcu i novčanim ekvivalentima</t>
  </si>
  <si>
    <t>D) NETO POVEĆANJE ILI SMANJENJE NOVČANIH TOKOVA</t>
  </si>
  <si>
    <t>E) NOVAC I NOVČANI EKVIVALENTI NA POČETKU RAZDOBLJA</t>
  </si>
  <si>
    <t>F) NOVAC I NOVČANI EKVIVALENTI NA KRAJU RAZDOBLJA</t>
  </si>
  <si>
    <t>Dani depoziti s dospijećem preko 90 dana</t>
  </si>
  <si>
    <t>Opis</t>
  </si>
  <si>
    <t>R. br.</t>
  </si>
  <si>
    <t>Ulog u obveznice</t>
  </si>
  <si>
    <t>KFW-Entwicklungbank - HEP ESCO d.o.o.</t>
  </si>
  <si>
    <t>KFW-Entwicklungbank - HEP d.d.</t>
  </si>
  <si>
    <t>Ukupno (1 do 3)</t>
  </si>
  <si>
    <t>Povrat depozita s dospijećem preko 90 dana</t>
  </si>
  <si>
    <t>Ukupno (1 do 2)</t>
  </si>
  <si>
    <t>Uložena sredstva u društvo IE Nekretnine d.d.</t>
  </si>
  <si>
    <t>Kupnja poslovnog udjela - E.P.Korlat d.o.o.</t>
  </si>
  <si>
    <t>Dokapitalizacija HEP Telekomunikacije d.o.o.</t>
  </si>
  <si>
    <t>Dokapitalizacija LNG HRVATSKA d.o.o.</t>
  </si>
  <si>
    <t>Građevinski objekti</t>
  </si>
  <si>
    <t>Zemljišta</t>
  </si>
  <si>
    <t>Patenti, licencije, koncesija, zaštitini znaci</t>
  </si>
  <si>
    <t>Donacije iz EU fondova - projekti</t>
  </si>
  <si>
    <t>Ostali izdaci</t>
  </si>
  <si>
    <t>Obveza za dekomisiju NEK</t>
  </si>
  <si>
    <t>Obveze za trošarine na plin</t>
  </si>
  <si>
    <t>Naknada za organiziranje tržišta el.energije i plina</t>
  </si>
  <si>
    <t>Naknada vijeću za regulaciju energetskih djelatnosti</t>
  </si>
  <si>
    <t>Komunalna naknada</t>
  </si>
  <si>
    <t>Naknade za korištenje šuma</t>
  </si>
  <si>
    <t>Doprinosi na plaću</t>
  </si>
  <si>
    <t>Obveze po osnovi sponzorstava</t>
  </si>
  <si>
    <t>Obveze po osnovi donacija</t>
  </si>
  <si>
    <t>Obveza za naknadu štete pravnim i fizičkim osobama</t>
  </si>
  <si>
    <t>Obveze od terminskog trgovanja na burzi</t>
  </si>
  <si>
    <t>Premije osiguranja</t>
  </si>
  <si>
    <t>Naknade i provizije</t>
  </si>
  <si>
    <t>Potraživanja od zaposlenih</t>
  </si>
  <si>
    <t>Ostali porezi</t>
  </si>
  <si>
    <t>Isplata PDV-a</t>
  </si>
  <si>
    <t>Ostali primici</t>
  </si>
  <si>
    <t>Primici od terminskog trgovanja na burzi</t>
  </si>
  <si>
    <t>Refundirane plaće djelatnicima za bolovanje preko 42 dana</t>
  </si>
  <si>
    <t>BILJEŠKE UZ FINANCIJSKE IZVJEŠTAJE</t>
  </si>
  <si>
    <t>Zalihe energetskih ušteda u krajnjoj potrošnji</t>
  </si>
  <si>
    <t>661</t>
  </si>
  <si>
    <t>Ostala potraživanja</t>
  </si>
  <si>
    <t>Ukupno (1 do 4)</t>
  </si>
  <si>
    <t>94993</t>
  </si>
  <si>
    <t>2926</t>
  </si>
  <si>
    <t>Ukupno (1 do 5)</t>
  </si>
  <si>
    <t>Tekuće dospijeće dugoročnih kredita</t>
  </si>
  <si>
    <t>Ostalo</t>
  </si>
  <si>
    <t>Prihod od prodane električne energije HEP Elektri d.o.o.</t>
  </si>
  <si>
    <t>76000053</t>
  </si>
  <si>
    <t>Prihod od fakturiranih gubitaka na mreži prijenosa</t>
  </si>
  <si>
    <t>76009303</t>
  </si>
  <si>
    <t>Prihod od fakturiranih gubitaka na mreži distrubucije</t>
  </si>
  <si>
    <t>76009403</t>
  </si>
  <si>
    <t>Prihod od isporučene električne energije uravnoteženja</t>
  </si>
  <si>
    <t>76009603</t>
  </si>
  <si>
    <t>Prihodi temeljem isporučene električne, toplinske energije i plina</t>
  </si>
  <si>
    <t>761</t>
  </si>
  <si>
    <t>Prihod od prodaje emisijskih jedinica CO2 HEP Proizvodnji d.o.o.</t>
  </si>
  <si>
    <t>76632000</t>
  </si>
  <si>
    <t>Prihod od usluga za investicije unutar HEP grupe</t>
  </si>
  <si>
    <t>75200000</t>
  </si>
  <si>
    <t>Prihodi temeljem ostalih usluga unutar HEP grupe</t>
  </si>
  <si>
    <t>Ukupno (1 do 8)</t>
  </si>
  <si>
    <t>Prihod od prodaje električne energije - kućanstva - HEP Opskrba  d.o.o.</t>
  </si>
  <si>
    <t>75006113</t>
  </si>
  <si>
    <t>Prihod od prodaje električne energije domaćem kupcu</t>
  </si>
  <si>
    <t>Prihod od prodaje plina na veleprodajnom tržištu</t>
  </si>
  <si>
    <t>75027000</t>
  </si>
  <si>
    <t xml:space="preserve">Prihod od prodaje energije uravnoteženja plina </t>
  </si>
  <si>
    <t xml:space="preserve">Prihod od prodaje u inozemstvo - električna energija </t>
  </si>
  <si>
    <t>Prihod od prodaje u inozemstvo - el.en. uravnoteženja</t>
  </si>
  <si>
    <t>75040002</t>
  </si>
  <si>
    <t>Prihod od prodaje u inozemstvo - plin</t>
  </si>
  <si>
    <t>Prihod od prodaje zelene energije</t>
  </si>
  <si>
    <t>750386</t>
  </si>
  <si>
    <t>Prihod od naknade za opskrbu kupaca gospodarstva i kućanstva</t>
  </si>
  <si>
    <t>754</t>
  </si>
  <si>
    <t>Prihod od naknade za više ili manje preuzete količine plina</t>
  </si>
  <si>
    <t>7592</t>
  </si>
  <si>
    <t>Prihod temeljem fakturiranih troškova zajedničkih funkcija HEP-a d.d.</t>
  </si>
  <si>
    <t>762</t>
  </si>
  <si>
    <t xml:space="preserve">Prihod od zakupa </t>
  </si>
  <si>
    <t>764</t>
  </si>
  <si>
    <t>Prihodi od zateznih kamata po računima za el.energiju</t>
  </si>
  <si>
    <t>76008</t>
  </si>
  <si>
    <t>768</t>
  </si>
  <si>
    <t>Prihod od prodaje materijalne imovine</t>
  </si>
  <si>
    <t>Naplaćena otpisana potraživanja</t>
  </si>
  <si>
    <t>786</t>
  </si>
  <si>
    <t>Prihod od obračunatih zateznih kamata</t>
  </si>
  <si>
    <t>777008</t>
  </si>
  <si>
    <t>Prihod od zakupa prostora za postavljanje telekomunikacijske opreme</t>
  </si>
  <si>
    <t>Troškovi nabave električne energije izvan sustava</t>
  </si>
  <si>
    <t>Troškovi nabave električne energije unutar grupe</t>
  </si>
  <si>
    <t>461,46002,46006,460096</t>
  </si>
  <si>
    <t>Troškovi nabave plina za prodaju</t>
  </si>
  <si>
    <t>Prodaja plina opskrbljivačima sa skladišta</t>
  </si>
  <si>
    <t>Prodaja plina opskrbljivačima direktno bez skladištenja</t>
  </si>
  <si>
    <t>Prodaja materijala unutar HEP grupe</t>
  </si>
  <si>
    <t>Troškovi temeljem isporuka električne energije</t>
  </si>
  <si>
    <t>460-46002-46006-460096</t>
  </si>
  <si>
    <t xml:space="preserve">Troškovi unutar HEP grupe </t>
  </si>
  <si>
    <t>Troškovi materijala i rezervnih dijelova</t>
  </si>
  <si>
    <t>Trošak zakupa poslovnog prostora</t>
  </si>
  <si>
    <t>464</t>
  </si>
  <si>
    <t>Troškovi dekomisije NEK</t>
  </si>
  <si>
    <t>44-1191</t>
  </si>
  <si>
    <t>Troškovi socijalne skrbi za zaposlene</t>
  </si>
  <si>
    <t>Bankovni troškovi</t>
  </si>
  <si>
    <t>44-1333</t>
  </si>
  <si>
    <t>44-1335</t>
  </si>
  <si>
    <t>Naknade i članarine</t>
  </si>
  <si>
    <t>44-1336</t>
  </si>
  <si>
    <t>Regulacije i organizacije tržišta za energet.djelat.i tržišta plina</t>
  </si>
  <si>
    <t>44-1367</t>
  </si>
  <si>
    <t>Primici u naravi</t>
  </si>
  <si>
    <t>444</t>
  </si>
  <si>
    <t>Naknadno utvrđeni troškovi iz proteklih godina</t>
  </si>
  <si>
    <t>480</t>
  </si>
  <si>
    <t>Darovanja u vrijednosti do 2% prihoda</t>
  </si>
  <si>
    <t>Financiranje programa sanacije</t>
  </si>
  <si>
    <t>44-13761</t>
  </si>
  <si>
    <t>Prodaja emisijskih jedinica CO2 društvima unutar grupe</t>
  </si>
  <si>
    <t>Ostali troškovi poslovanja</t>
  </si>
  <si>
    <t>Vrijednosno usklađenje potraživanja od kupaca električne energije</t>
  </si>
  <si>
    <t>775</t>
  </si>
  <si>
    <t xml:space="preserve">Tekući porez </t>
  </si>
  <si>
    <t>Odgođeni troškovi poreza koji se odnose na stvaranje i ukidanje privremenih razlika  (odgođena porezna imovina)</t>
  </si>
  <si>
    <t>44-13750</t>
  </si>
  <si>
    <t>Ukupno (1 do 6)</t>
  </si>
  <si>
    <t>Zagrebu</t>
  </si>
  <si>
    <t>,</t>
  </si>
  <si>
    <t>IZVJEŠTAJ O PROMJENAMA KAPITALA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</si>
  <si>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</si>
  <si>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</si>
  <si>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  <charset val="238"/>
      </rPr>
      <t>(nekontrolirajući)</t>
    </r>
    <r>
      <rPr>
        <b/>
        <sz val="8"/>
        <color indexed="9"/>
        <rFont val="Arial"/>
        <family val="2"/>
        <charset val="238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</si>
  <si>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</si>
  <si>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</si>
  <si>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</si>
  <si>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</si>
  <si>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</si>
  <si>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</si>
  <si>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</si>
  <si>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</si>
  <si>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</si>
  <si>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</si>
  <si>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</si>
  <si>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</si>
  <si>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</si>
  <si>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</si>
  <si>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17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</si>
  <si>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</si>
  <si>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</si>
  <si>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</si>
  <si>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</si>
  <si>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</si>
  <si>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</si>
  <si>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</si>
  <si>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</si>
  <si>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</si>
  <si>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</si>
  <si>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</si>
  <si>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</si>
  <si>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18. Otkup vlastitih dionica/udjela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</si>
  <si>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</si>
  <si>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(AOP 06 do 14)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</si>
  <si>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</si>
  <si>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</si>
  <si>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</si>
  <si>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1.</t>
  </si>
  <si>
    <t>- u kunama</t>
  </si>
  <si>
    <t>2.</t>
  </si>
  <si>
    <t>Prihod od prodaje električne energije - gospodarstvo - HEP Opskrba  d.o.o.</t>
  </si>
  <si>
    <t>Ukupno (1 do 13)</t>
  </si>
  <si>
    <t>3.</t>
  </si>
  <si>
    <t>OSTALI POSLOVNI PRIHODI S PODUZETNICIMA UNUTAR GRUPE</t>
  </si>
  <si>
    <t xml:space="preserve">Prihod HEP-a d.d. temeljem prodaje energetskih ušteda društvima </t>
  </si>
  <si>
    <t>4.</t>
  </si>
  <si>
    <t>Naplaćena vrijednosno usklađena potraživanja</t>
  </si>
  <si>
    <t>Nerealizirani dobici (prihod) od fer vrednovanja materijalne imovine</t>
  </si>
  <si>
    <t>Prihodi od ukidanja dugoročnih rezerviranja - sudski troškovi</t>
  </si>
  <si>
    <t>Prihodi od ukinutih rezerviranja za godišnje odmore</t>
  </si>
  <si>
    <t>Prihodi od ukidanja dugoročnih rezerviranja za troškove otpremnina</t>
  </si>
  <si>
    <t>Prihodi od donacija EU</t>
  </si>
  <si>
    <t>Prihod od obračuna  naknade za neutralnost (HROTE čl.19 Pravila)</t>
  </si>
  <si>
    <t>5.</t>
  </si>
  <si>
    <t>TROŠKOVI SIROVINA I MATERIJALA</t>
  </si>
  <si>
    <t>40020000</t>
  </si>
  <si>
    <t>6.</t>
  </si>
  <si>
    <t xml:space="preserve"> TROŠKOVI PRODANE ROBE</t>
  </si>
  <si>
    <t>71003000+410 ša 117 i 35601</t>
  </si>
  <si>
    <t>7.</t>
  </si>
  <si>
    <t xml:space="preserve"> OSTALI VANJSKI TROŠKOVI</t>
  </si>
  <si>
    <t>Troškovi usluga</t>
  </si>
  <si>
    <t>410 osim 117 i 35601</t>
  </si>
  <si>
    <t>5.1</t>
  </si>
  <si>
    <t>Troškovi prodajne funkcije</t>
  </si>
  <si>
    <t>ša115</t>
  </si>
  <si>
    <t>5.2</t>
  </si>
  <si>
    <t>Održavanje računarske opreme i softwera</t>
  </si>
  <si>
    <t>ša 1326</t>
  </si>
  <si>
    <t>5.3</t>
  </si>
  <si>
    <t>Ppomocija i odnosi s javnošću</t>
  </si>
  <si>
    <t>ša 1330</t>
  </si>
  <si>
    <t>5.4</t>
  </si>
  <si>
    <t>Naknade za profesionalne usluge</t>
  </si>
  <si>
    <t>ša 1331</t>
  </si>
  <si>
    <t>5.5</t>
  </si>
  <si>
    <t>Istraživanje i razvoj</t>
  </si>
  <si>
    <t>ša 1332</t>
  </si>
  <si>
    <t>5.6</t>
  </si>
  <si>
    <t>8.</t>
  </si>
  <si>
    <t xml:space="preserve"> TROŠKOVI OSOBLJA</t>
  </si>
  <si>
    <t>izvj.624 (cto47)</t>
  </si>
  <si>
    <t>Neto plaće</t>
  </si>
  <si>
    <t>Troškovi poreza i doprinosa iz plaća</t>
  </si>
  <si>
    <t>Doprinosi na bruto plaće</t>
  </si>
  <si>
    <t>9.</t>
  </si>
  <si>
    <t xml:space="preserve"> OSTALI TROŠKOVI</t>
  </si>
  <si>
    <t>44-1313minus 444-1313</t>
  </si>
  <si>
    <t>Naknada štete temeljem utuženja</t>
  </si>
  <si>
    <t>44-13711</t>
  </si>
  <si>
    <t>71630</t>
  </si>
  <si>
    <t>ost.44</t>
  </si>
  <si>
    <t>10.</t>
  </si>
  <si>
    <t xml:space="preserve"> VRIJEDNOSNO USKLAĐENJE DUGOTRAJNE IMOVINE</t>
  </si>
  <si>
    <t>Vrijednosno usklađenje dugotrajne nematerijalne imovine</t>
  </si>
  <si>
    <t>457</t>
  </si>
  <si>
    <t xml:space="preserve">Ukupno </t>
  </si>
  <si>
    <t>11.</t>
  </si>
  <si>
    <t>Vrijednosno usklađenje zaliha,sirovina,materijala i rez.dijelova</t>
  </si>
  <si>
    <t>Vrijednosno usklađenje neutuženih potraživanja od kupaca</t>
  </si>
  <si>
    <t>45232</t>
  </si>
  <si>
    <t>12.</t>
  </si>
  <si>
    <t xml:space="preserve"> OSTALI POSLOVNI RASHODI</t>
  </si>
  <si>
    <t>Otpis nenaplaćenih potraživanja</t>
  </si>
  <si>
    <t>Ostali rashodi</t>
  </si>
  <si>
    <t>13.</t>
  </si>
  <si>
    <t>FINANCIJSKI PRIHODI</t>
  </si>
  <si>
    <t>izvj. 624</t>
  </si>
  <si>
    <t>Kamate iz odnosa sa poduzetnicima unutar grupe</t>
  </si>
  <si>
    <t>Ostali prihodi s osnove kamata</t>
  </si>
  <si>
    <t>Tečajne razlike i ostali financijski prihodi</t>
  </si>
  <si>
    <t>Tečajne razlike i ostali fin. prihodi s poduzetnicima unutar grupe</t>
  </si>
  <si>
    <t>Dividende iz odnosa s nepovezanim društvima</t>
  </si>
  <si>
    <t>Udio u dobiti ovisnih i pridruženih društava</t>
  </si>
  <si>
    <t>Nerealizirani prihodi od financ.imovine</t>
  </si>
  <si>
    <t>Ostali financijski prihodi</t>
  </si>
  <si>
    <t>14.</t>
  </si>
  <si>
    <t>FINANCIJSKI RASHODI</t>
  </si>
  <si>
    <t>Kamate</t>
  </si>
  <si>
    <t>Tečajne razlike i drugi rashodi</t>
  </si>
  <si>
    <t>Tečajne razlike i drugi rashodi s poduzetnicima unutar grupe</t>
  </si>
  <si>
    <t xml:space="preserve">Nerealizirani gubici (rashodi) od financijske imovine    </t>
  </si>
  <si>
    <t>Kamate po osnovi najma MSFI 16 unutar grupe - nekretnine</t>
  </si>
  <si>
    <t>Rashodi od prodaje udjela</t>
  </si>
  <si>
    <t>15.</t>
  </si>
  <si>
    <t>POREZ NA DOBIT</t>
  </si>
  <si>
    <t>810</t>
  </si>
  <si>
    <t>16.</t>
  </si>
  <si>
    <t>NEMATERIJALNA IMOVINA</t>
  </si>
  <si>
    <t>Nabavna vrijednost</t>
  </si>
  <si>
    <t>Ispravak vrijednosti</t>
  </si>
  <si>
    <t>Sadašnja vrijednost</t>
  </si>
  <si>
    <t>4 (2-3)</t>
  </si>
  <si>
    <t>Licence i softveri</t>
  </si>
  <si>
    <t>Ostala nematerijalna imovina</t>
  </si>
  <si>
    <t>Imovina u pripremi</t>
  </si>
  <si>
    <t>005001</t>
  </si>
  <si>
    <t>17.</t>
  </si>
  <si>
    <t>provjera s izvj.626 r.br.18</t>
  </si>
  <si>
    <t>010</t>
  </si>
  <si>
    <t>Postrojenja i oprema</t>
  </si>
  <si>
    <t>Alati, pogonski inventar i transportna sredstva</t>
  </si>
  <si>
    <t>Predujmovi za materijalnu imovinu</t>
  </si>
  <si>
    <t>Materijalna imovina u pripremi</t>
  </si>
  <si>
    <t>Ostala materijalna imovina</t>
  </si>
  <si>
    <t>023-02903</t>
  </si>
  <si>
    <t>Ukupno (1 do 7)</t>
  </si>
  <si>
    <t>Ulaganja u nekretnine</t>
  </si>
  <si>
    <t>03</t>
  </si>
  <si>
    <t>18.</t>
  </si>
  <si>
    <t>PREDUJMOVI ZA MATERIJALNU IMOVINU</t>
  </si>
  <si>
    <t>Končar - Obnovljivi izvori d.o.o.</t>
  </si>
  <si>
    <t>JSC Tehnopromexport -Te Sisak</t>
  </si>
  <si>
    <t>Voith Siemens Austrija</t>
  </si>
  <si>
    <t>M- FRIGO -  VL.Leš Mladen</t>
  </si>
  <si>
    <t>HELB d.o.o.</t>
  </si>
  <si>
    <t>FATA S.P.A.</t>
  </si>
  <si>
    <t>026001</t>
  </si>
  <si>
    <t>RAMBOLL UK LIMITED</t>
  </si>
  <si>
    <t>Predujmovi unutar Grupe za priključke i usluge</t>
  </si>
  <si>
    <t>0267</t>
  </si>
  <si>
    <t>Ostali</t>
  </si>
  <si>
    <t>19.</t>
  </si>
  <si>
    <t>Hrvatski operator prijenosnog sustava d.o.o.</t>
  </si>
  <si>
    <t>HEP - Operator distribucijskog sustava d.o.o.</t>
  </si>
  <si>
    <t>HEP -  Proizvodnja d.o.o.</t>
  </si>
  <si>
    <t>HEP - Toplinarstvo d.o.o.</t>
  </si>
  <si>
    <t>HEP - Telekomunikacije d.o.o.</t>
  </si>
  <si>
    <t>HEP ESCO d.o.o.</t>
  </si>
  <si>
    <t>HEP Upravljanje imovinom d.o.o.</t>
  </si>
  <si>
    <t>SE Vis d.o.o.</t>
  </si>
  <si>
    <t>Ostala povezana poduzeća</t>
  </si>
  <si>
    <t xml:space="preserve">Dugoročna ulaganja u EP Korlat d.o.o. </t>
  </si>
  <si>
    <t>Dugoročna ulaganja u LNG Hrvatska</t>
  </si>
  <si>
    <t>Dugoročna ulaganja u Plomin Holding d.o.o.</t>
  </si>
  <si>
    <t>20.</t>
  </si>
  <si>
    <t>041,066</t>
  </si>
  <si>
    <t>Potraživanja za podzajam HOPS d.o.o.</t>
  </si>
  <si>
    <t>Potraživanja za podzajam HEP ESCO d.o.o.</t>
  </si>
  <si>
    <t>Potraživanja po dugoročnom zajmu  LNG Hrvatska d.o.o.</t>
  </si>
  <si>
    <t>Potraživanja po dugoročnom zajmu  HEP Plin d.o.o.</t>
  </si>
  <si>
    <t>Potraživanja po dugoročnom zajmu  Plomin Holding d.o.o.</t>
  </si>
  <si>
    <t>Potraživanja po dugoročnom zajmu  EP Korlat d.o.o.</t>
  </si>
  <si>
    <t>Potraživanja po dugoročnom zajmu Opskrba d.o.o.</t>
  </si>
  <si>
    <t>Potraživanja po dugoročnom zajmu Ornatus d.o.o.</t>
  </si>
  <si>
    <t>Potraživanja po dugoročnom zajmu  SE Vis d.o.o.</t>
  </si>
  <si>
    <t>Tekuće dospijeće</t>
  </si>
  <si>
    <t>21.</t>
  </si>
  <si>
    <t>OSTALA DUGOTRAJNA FINANCIJSKA IMOVINA</t>
  </si>
  <si>
    <t>Stanje na početku</t>
  </si>
  <si>
    <t>Fer vrednovanje ulaganja</t>
  </si>
  <si>
    <t>04911,040309</t>
  </si>
  <si>
    <t>Ulaganja u vrijednosnice:</t>
  </si>
  <si>
    <t>Jadranski Naftovod d.d.</t>
  </si>
  <si>
    <t>04712,04911</t>
  </si>
  <si>
    <t>Viktor Lenac d.d.</t>
  </si>
  <si>
    <t>Đuro Đaković d.d.</t>
  </si>
  <si>
    <t>Kraš d.d.</t>
  </si>
  <si>
    <t>Industrogradnja grupa d.d.</t>
  </si>
  <si>
    <t>Jadran d.d.</t>
  </si>
  <si>
    <t>HTP Korčula d.d.</t>
  </si>
  <si>
    <t>Institut IGH d.d.</t>
  </si>
  <si>
    <t>Međimurje beton d.d.</t>
  </si>
  <si>
    <t>0403</t>
  </si>
  <si>
    <t>Helios Faros d.d.</t>
  </si>
  <si>
    <t>Konstruktor inžinjering Split</t>
  </si>
  <si>
    <t>OT Optima telekom d.d.</t>
  </si>
  <si>
    <t>Pominvest banka d.d. Split</t>
  </si>
  <si>
    <t>VIS d.d.</t>
  </si>
  <si>
    <t>Elektrometal d.d.</t>
  </si>
  <si>
    <t>22.</t>
  </si>
  <si>
    <t>Potraživanja za imovinu u zakupu</t>
  </si>
  <si>
    <t>060-069</t>
  </si>
  <si>
    <t>HEP Operator distribucijskog sustava d.o.o.</t>
  </si>
  <si>
    <t>HEP Proizvodnja d.o.o.</t>
  </si>
  <si>
    <t>HEP Toplinarstvo d.o.o.</t>
  </si>
  <si>
    <t>HEP Plin d.o.o.</t>
  </si>
  <si>
    <t>HEP Opskrba d.o.o.</t>
  </si>
  <si>
    <t>HEP Trgovina d.o.o.</t>
  </si>
  <si>
    <t>HEP Upravljanje imovinom  d.o.o.</t>
  </si>
  <si>
    <t>HEP ELEKTRA d.o.o.</t>
  </si>
  <si>
    <t>Potraživanja za prodane stanove</t>
  </si>
  <si>
    <t>065</t>
  </si>
  <si>
    <t>23.</t>
  </si>
  <si>
    <t xml:space="preserve"> ZALIHE</t>
  </si>
  <si>
    <t>Zalihe investicijskog materijala</t>
  </si>
  <si>
    <t>0255</t>
  </si>
  <si>
    <t>Zalihe ostalog materijala</t>
  </si>
  <si>
    <t>Emisijske jedinice CO2</t>
  </si>
  <si>
    <t>660</t>
  </si>
  <si>
    <t>Kratkoročna  potraživanja</t>
  </si>
  <si>
    <t>Potraživanja za prodanu električnu energiju</t>
  </si>
  <si>
    <t>140,141,1460</t>
  </si>
  <si>
    <t>Potraživanja temeljem isporuke plina</t>
  </si>
  <si>
    <t>14671</t>
  </si>
  <si>
    <t>Potraživanja za administrativne usluge</t>
  </si>
  <si>
    <t>1462</t>
  </si>
  <si>
    <t>Kratkoročna potraživanja temeljem zakupa dugotrajne imovine</t>
  </si>
  <si>
    <t>1463</t>
  </si>
  <si>
    <t>Potraživanja s temelja udjela u rezultatu</t>
  </si>
  <si>
    <t>162</t>
  </si>
  <si>
    <t xml:space="preserve">Ostala kratkoročna potraživanja </t>
  </si>
  <si>
    <t xml:space="preserve">Potraživanja za plaćene investicije i ostala potraživanja </t>
  </si>
  <si>
    <t>Potraživanja za prodani investicijski i ostali materijal</t>
  </si>
  <si>
    <t>148</t>
  </si>
  <si>
    <t>13031005</t>
  </si>
  <si>
    <t>Tekuće dospijeće potraživanja za zakup imovine  od povezanih poduzeća</t>
  </si>
  <si>
    <t>1458</t>
  </si>
  <si>
    <t>Ukupno (1 do 10)</t>
  </si>
  <si>
    <t>25.</t>
  </si>
  <si>
    <t>POTRAŽIVANJA OD KUPACA</t>
  </si>
  <si>
    <t>Potraživanja za električnu energiju iz inozemstva</t>
  </si>
  <si>
    <t>Potraživanja od kupaca u inozemstvu - ostalo</t>
  </si>
  <si>
    <t>Potraživanja od kupaca unutar EU</t>
  </si>
  <si>
    <t>Potraživanja od kupaca u zemlji</t>
  </si>
  <si>
    <t>Ispravak potraživanja</t>
  </si>
  <si>
    <t>26.</t>
  </si>
  <si>
    <t>OSTALA FINANCIJSKA IMOVINA</t>
  </si>
  <si>
    <t>27.</t>
  </si>
  <si>
    <t xml:space="preserve">Žiro računi kunski </t>
  </si>
  <si>
    <t>Devizni računi</t>
  </si>
  <si>
    <t>Izdvojena novčana sredstva - poštanske uputnice</t>
  </si>
  <si>
    <t>Kratkoročno oročena sredstva (dnevna oročenja)</t>
  </si>
  <si>
    <t>Depoziti s rokom dospijeća do 90 dana (trgovanje na burzi)</t>
  </si>
  <si>
    <t>28.</t>
  </si>
  <si>
    <t>Temeljni kapital društva iznosi 19.792.159.200 kuna, a podijeljen je na 10.995.644 komada redovnih dionica serije A1 s niminalnim iznosom od 1.800 kuna. Dionice Hrvatske elektroprivrede d.d. su u 100%-tnom vlasništvu Republike Hrvatske.</t>
  </si>
  <si>
    <t>29.</t>
  </si>
  <si>
    <t>REZERVIRANJA</t>
  </si>
  <si>
    <t>Rezerviranja za otpremnine i jubilarne nagrade</t>
  </si>
  <si>
    <t>Rezerviranja za sudske sporove</t>
  </si>
  <si>
    <t>30.</t>
  </si>
  <si>
    <t xml:space="preserve">Krediti od domaćih banaka </t>
  </si>
  <si>
    <t xml:space="preserve">Krediti od inozemnih banaka </t>
  </si>
  <si>
    <t>944P</t>
  </si>
  <si>
    <t>Dugoročne obveze po kreditima</t>
  </si>
  <si>
    <t>Razgraničenje naknada po kreditima</t>
  </si>
  <si>
    <t>Tekuća dospijeća</t>
  </si>
  <si>
    <t>Svekupno (1 do 3)</t>
  </si>
  <si>
    <t>31.</t>
  </si>
  <si>
    <t>Vrijednost obveznica u inozemstvu izdanih 2015. godine</t>
  </si>
  <si>
    <t>947P</t>
  </si>
  <si>
    <t xml:space="preserve">Tečajna razlika </t>
  </si>
  <si>
    <t>04729</t>
  </si>
  <si>
    <t xml:space="preserve">Diskontirana vrijednost </t>
  </si>
  <si>
    <t>94729</t>
  </si>
  <si>
    <t>Otkup vlastitih obveznica</t>
  </si>
  <si>
    <t>04720</t>
  </si>
  <si>
    <t>Dugoročne obveze po vrijednosnim papirima (1 do 4)</t>
  </si>
  <si>
    <t>Razgraničeni troškovi naknada po obveznicama</t>
  </si>
  <si>
    <t>191031</t>
  </si>
  <si>
    <t>Svekupno (1 do 5)</t>
  </si>
  <si>
    <t>32.</t>
  </si>
  <si>
    <t>OSTALE DUGOROČNE OBVEZE</t>
  </si>
  <si>
    <t xml:space="preserve">Obveze prema državi </t>
  </si>
  <si>
    <t>Derivativne financijske obveze po swap transakcijama</t>
  </si>
  <si>
    <t>948</t>
  </si>
  <si>
    <t>Dugoročne obveze za imovinu financiranu iz klirinškog duga</t>
  </si>
  <si>
    <t>Dugoročne obveze za najam MSFI 16 - nekretnine,automobili</t>
  </si>
  <si>
    <t>94200000,94200100</t>
  </si>
  <si>
    <t xml:space="preserve">Tekuće dospijeće dugoročnih obveze za najam MSFI 16 </t>
  </si>
  <si>
    <t>94200090,94200190</t>
  </si>
  <si>
    <t>Ostale obveze</t>
  </si>
  <si>
    <t>33.</t>
  </si>
  <si>
    <t>Obveze iz  poslovanja za naknadu proizvodnje i opskrbe el.en.</t>
  </si>
  <si>
    <t>2460</t>
  </si>
  <si>
    <t>Obveza prema HEP Proizvodnji d.o.o. temeljem ugov. o cesiji</t>
  </si>
  <si>
    <t>28102</t>
  </si>
  <si>
    <t xml:space="preserve">Obveze prema HEP ODS d.o.o. za novčana sredstva u riznici </t>
  </si>
  <si>
    <t>28100000</t>
  </si>
  <si>
    <t xml:space="preserve">Obveze prema  HEP ELEKTRI d.o.o. za novčana sred. u riznici </t>
  </si>
  <si>
    <t>28108</t>
  </si>
  <si>
    <t>Obveze s temelja udjela u rezultatu</t>
  </si>
  <si>
    <t>26200000</t>
  </si>
  <si>
    <t>34.</t>
  </si>
  <si>
    <t>OBVEZE PREMA BANKAMA I DRUGIM FINANCIJSKIM INSTITUCIJAMA</t>
  </si>
  <si>
    <t>35.</t>
  </si>
  <si>
    <t>OBVEZE PREMA ZAPOSLENIMA</t>
  </si>
  <si>
    <t>Obveze za neto plaće</t>
  </si>
  <si>
    <t>Obveze za doprinose</t>
  </si>
  <si>
    <t>263,264,26740000,26749000</t>
  </si>
  <si>
    <t>36.</t>
  </si>
  <si>
    <t xml:space="preserve">OSTALE KRATKOROČNE OBVEZE </t>
  </si>
  <si>
    <t>37.</t>
  </si>
  <si>
    <t>Naknade plaća djelatnicima na bolovanju preko 42 dana</t>
  </si>
  <si>
    <t>2471, 2474 D</t>
  </si>
  <si>
    <t>247200 D</t>
  </si>
  <si>
    <t>Obveze po osnovi naknade za plaćanje el.en.,topline,plina (FINA,BANKE)</t>
  </si>
  <si>
    <t>2473700 D</t>
  </si>
  <si>
    <t>24795 D</t>
  </si>
  <si>
    <t>24797 D</t>
  </si>
  <si>
    <t>24798 D</t>
  </si>
  <si>
    <t>26021 do 26026 D</t>
  </si>
  <si>
    <t>26042 D</t>
  </si>
  <si>
    <t>26043 do 26045 D</t>
  </si>
  <si>
    <t>2604600 D</t>
  </si>
  <si>
    <t>260461 D</t>
  </si>
  <si>
    <t>2605100 D</t>
  </si>
  <si>
    <t>Povrat predujma dobiti za 2017.g. - HEP Proizvodnja d.o.o.</t>
  </si>
  <si>
    <t>Naknade za prijevoz na posao i s posla</t>
  </si>
  <si>
    <t>264100 D</t>
  </si>
  <si>
    <t>Materijalna prava zaposlenih</t>
  </si>
  <si>
    <t>26431 do 26439</t>
  </si>
  <si>
    <t>Naknade čl.N.O.;Autorski honorari;Ug.o djelu; stipendije</t>
  </si>
  <si>
    <t>26731 do 26737 D</t>
  </si>
  <si>
    <t>292910 D</t>
  </si>
  <si>
    <t>38.</t>
  </si>
  <si>
    <t>NOVČANI PRIMICI OD DIVIDENDI</t>
  </si>
  <si>
    <t>Dividende iz udjela/otkup udjela</t>
  </si>
  <si>
    <t>Predujam za dobit HEP Proizvodnja d.o.o.</t>
  </si>
  <si>
    <t>39.</t>
  </si>
  <si>
    <t>OSTALI NOVČANI PRIMICI OD INVESTICIJSKIH AKTIVNOSTI</t>
  </si>
  <si>
    <t>40.</t>
  </si>
  <si>
    <t>NOVČANI IZDACI ZA KUPNJU DUGOTRAJNE MATERIJALNE I NEMATERIJALNE IMOVINE</t>
  </si>
  <si>
    <t>41.</t>
  </si>
  <si>
    <t>NOVČANI IZDACI S OSNOVE DANIH ZAJMOVA I ŠTEDNIH ULOGA</t>
  </si>
  <si>
    <t>OSTALI NOVČANI IZDACI OD INVESTICIJSKIH AKTIVNOSTI</t>
  </si>
  <si>
    <t>Dokapitalizacija HEP Toplinarstvo d.o.o.</t>
  </si>
  <si>
    <t>Dokapitalizacija Plomin holding d.o.o.</t>
  </si>
  <si>
    <t>Dokapitalizacija HEP Upravljanje imovinom d.o.o.</t>
  </si>
  <si>
    <t xml:space="preserve">Dokapitalizacija NE Krško </t>
  </si>
  <si>
    <t>Kupnja poslovnog udjela - SE Vis  d.o.o.</t>
  </si>
  <si>
    <t>43.</t>
  </si>
  <si>
    <t>EBRD (87 mil €)</t>
  </si>
  <si>
    <t>EIB  ( 43 mil €)</t>
  </si>
  <si>
    <t>44.</t>
  </si>
  <si>
    <t>Povrat od uloga u Investicijske fondove</t>
  </si>
  <si>
    <t>45.</t>
  </si>
  <si>
    <t>NOVČANI IZDACI ZA OTPLATU GLAVNICE KREDITA, POZAJMICA I DRUGIH POSUDBI I DUŽNIČKIH FINANCIJSKIH                                                                                   INSTRUMENATA</t>
  </si>
  <si>
    <t>OSTALI NOVČANI IZDACI OD FINANCIJSKIH AKTIVNOSTI</t>
  </si>
  <si>
    <t>Ulaganja u investicijske fondove</t>
  </si>
  <si>
    <t>Ostali novčani izdaci od financijskih aktivnosti</t>
  </si>
  <si>
    <t xml:space="preserve">               dana</t>
  </si>
  <si>
    <t xml:space="preserve">          dana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</si>
  <si>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</si>
  <si>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</si>
  <si>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</si>
  <si>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</si>
  <si>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</si>
  <si>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</si>
  <si>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</si>
  <si>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</si>
  <si>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</si>
  <si>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</si>
  <si>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</si>
  <si>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</si>
  <si>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</si>
  <si>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</si>
  <si>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</si>
  <si>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</si>
  <si>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</si>
  <si>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</si>
  <si>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</si>
  <si>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</si>
  <si>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</si>
  <si>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</si>
  <si>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 xml:space="preserve">Rbr. bilješke
</t>
  </si>
  <si>
    <t>Fer vrijednost financijske imovine kroz ostalu sveobuhvatnu dobit (raspoloživa za prodaju)</t>
  </si>
  <si>
    <t>Ostale rezerve fer vrijednosti</t>
  </si>
  <si>
    <t>Tečajne razlike iz preračuna inozemnog poslovanja</t>
  </si>
  <si>
    <t>18 (3 do 6 - 7
 + 8 do 17)</t>
  </si>
  <si>
    <t>20 (18+19)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</si>
  <si>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</si>
  <si>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</si>
  <si>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8. Dobitak ili gubitak s osnove naknadnog vrednovanja financijske imovine prema fer vrijednosti kroz ostalu sveobuhvatnu dobit (raspoloživa za prodaju)</t>
  </si>
  <si>
    <t>15. Smanjenje temeljnog (upisanog) kapitala (osim u postupku predstečajne nagodbe i nastalog reinvestiranjem dobiti)</t>
  </si>
  <si>
    <t>16. Smanjenje temeljnog (upisanog) kapitala u postupku predstečajne nagodbe</t>
  </si>
  <si>
    <t>17. Smanjenje temeljnog (upisanog) kapitala nastalog reinvestiranjem dobiti</t>
  </si>
  <si>
    <t>19. Uplate članova/dioničara</t>
  </si>
  <si>
    <t>10. Isplata udjela u dobiti/dividende</t>
  </si>
  <si>
    <t>21. Ostale raspodjele i isplate članovima/dioničarima</t>
  </si>
  <si>
    <t>22. Prijenos u pozicije rezervi po godišnjem rasporedu</t>
  </si>
  <si>
    <t>23. Povećanje rezervi u postupku predstečajne nagodbe</t>
  </si>
  <si>
    <r>
      <t xml:space="preserve">24. Stanje na zadnji dan izvještajnog razdoblja prethodne poslovne godine </t>
    </r>
    <r>
      <rPr>
        <sz val="8"/>
        <rFont val="Arial"/>
        <family val="2"/>
        <charset val="238"/>
      </rPr>
      <t>(04 do 23)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</si>
  <si>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(AOP 05+25)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</si>
  <si>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(AOP 15 do 23)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</si>
  <si>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</si>
  <si>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(AOP 28 do 30)</t>
    </r>
  </si>
  <si>
    <t>20. Isplata udjela u dobiti/dividende</t>
  </si>
  <si>
    <t>22. Prijenos po godišnjem rasporedu</t>
  </si>
  <si>
    <r>
      <t xml:space="preserve">24. Stanje na zadnji dan izvještajnog razdoblja tekuće poslovne godine </t>
    </r>
    <r>
      <rPr>
        <sz val="8"/>
        <rFont val="Arial"/>
        <family val="2"/>
        <charset val="238"/>
      </rPr>
      <t>(AOP 31 do 50)</t>
    </r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</si>
  <si>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(AOP 33 do 41)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</si>
  <si>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(AOP 32 + 52)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</si>
  <si>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(AOP 42 do 50)</t>
    </r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</si>
  <si>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</si>
  <si>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</si>
  <si>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</si>
  <si>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</si>
  <si>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</si>
  <si>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</si>
  <si>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</si>
  <si>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</si>
  <si>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</si>
  <si>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</si>
  <si>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2021.</t>
  </si>
  <si>
    <t>750402</t>
  </si>
  <si>
    <t>750060</t>
  </si>
  <si>
    <t xml:space="preserve">Prihod od prodaje viškova plina nabavljenog za društva HEP-a </t>
  </si>
  <si>
    <t>469</t>
  </si>
  <si>
    <t>Trošak nabave plina</t>
  </si>
  <si>
    <t>466</t>
  </si>
  <si>
    <t>780-7301</t>
  </si>
  <si>
    <t>000-00900000</t>
  </si>
  <si>
    <t>005-005001,015,025-0255</t>
  </si>
  <si>
    <t>022-02902</t>
  </si>
  <si>
    <t>04712,040300</t>
  </si>
  <si>
    <t>Ukupno (12 do 15)</t>
  </si>
  <si>
    <t>Svekupno potraživanja (1 do 15)</t>
  </si>
  <si>
    <t>Potraživanja po dugoročnom zajmu  HOPS d.o.o.</t>
  </si>
  <si>
    <t>Potraživanja po dugoročnom zajmu  HEP ESCO d.o.o.</t>
  </si>
  <si>
    <t>OSTALA POTRAŽIVANJA</t>
  </si>
  <si>
    <t>NOVAC U BANCI I BLAGAJNI</t>
  </si>
  <si>
    <t>DANI ZAJMOVI, DEPOZITI I SLIČNO</t>
  </si>
  <si>
    <t>Potraživanja za dane depozite sa dospijećem preko 90 dana</t>
  </si>
  <si>
    <t>Potraživanja za dane depozite sa dospijećem preko 90 dana u valuti</t>
  </si>
  <si>
    <t>Udjeli u financijskim fondovima</t>
  </si>
  <si>
    <t>Potraživanja za dane predujmove i jamstva</t>
  </si>
  <si>
    <t>Potraživanja za posuđeni plin zajedničkim korisnicima LNG terminala</t>
  </si>
  <si>
    <t>13-13031005</t>
  </si>
  <si>
    <t>Ukupno (1)</t>
  </si>
  <si>
    <t>156</t>
  </si>
  <si>
    <t>Depoziti s rokom dospijeća do 90 dana</t>
  </si>
  <si>
    <t>9431P</t>
  </si>
  <si>
    <t>OBVEZE PO VRIJEDNOSNIM PAPIRIMA</t>
  </si>
  <si>
    <t>25700920</t>
  </si>
  <si>
    <t>19103100</t>
  </si>
  <si>
    <t>15730000</t>
  </si>
  <si>
    <t>Tekuće dospijeće obveznica izdanih 2015. g.</t>
  </si>
  <si>
    <t>Troškovi za dugoročne obveznice izdane 2015. g.</t>
  </si>
  <si>
    <t>Tekuće dospijeće otkupljenih obveznica</t>
  </si>
  <si>
    <t xml:space="preserve"> OSTALI NOVČANI PRIMICI OD POSLOVNIH AKTIVNOSTI</t>
  </si>
  <si>
    <t xml:space="preserve"> OSTALI NOVČANI IZDACI OD POSLOVNIH AKTIVNOSTI</t>
  </si>
  <si>
    <t xml:space="preserve">Isplata po presudi </t>
  </si>
  <si>
    <t>167021 D</t>
  </si>
  <si>
    <t>Dani zajamovi povezanim društvima</t>
  </si>
  <si>
    <t>47.</t>
  </si>
  <si>
    <t>48.</t>
  </si>
  <si>
    <t>42.</t>
  </si>
  <si>
    <t>DTP</t>
  </si>
  <si>
    <t>15000000</t>
  </si>
  <si>
    <t>154000</t>
  </si>
  <si>
    <t>04028100</t>
  </si>
  <si>
    <t>04012000</t>
  </si>
  <si>
    <t>045,145,066</t>
  </si>
  <si>
    <t>Povrat danih zajamova povezanim društvima</t>
  </si>
  <si>
    <t>D2681-P1681+D1652</t>
  </si>
  <si>
    <t>163-1630509 D</t>
  </si>
  <si>
    <t>161 i 261 ost. D</t>
  </si>
  <si>
    <t>PTP</t>
  </si>
  <si>
    <t>Svekupno (1 do 4)</t>
  </si>
  <si>
    <t>16200000, 1476</t>
  </si>
  <si>
    <t>OSTALI NOVČANI PRIMICI OD FINANCIJSKIH AKTIVNOSTI</t>
  </si>
  <si>
    <t xml:space="preserve">NOVČANI PRIMICI OD GLAVNICE KREDITA, POZAJMICA I DRUGIH POSUDBI </t>
  </si>
  <si>
    <t>NOVČANI PRIMICI S OSNOVE POVRATA DANIH ZAJMOVA I ŠTEDNIH ULOGA</t>
  </si>
  <si>
    <t>OBVEZE PREMA PODUZETNICIMA UNUTAR GRUPE</t>
  </si>
  <si>
    <t>TEMELJNI (UPISANI) KAPITAL</t>
  </si>
  <si>
    <t xml:space="preserve">POTRAŽIVANJA OD PODUZETNIKA UNUTAR GRUPE </t>
  </si>
  <si>
    <t>POTRAŽIVANJA OD PODUZETNIKA UNUTAR GRUPE</t>
  </si>
  <si>
    <t>DANI ZAJMOVI, DEPOZITI I SLIČNO PODUZETNICIMA UNUTAR GRUPE</t>
  </si>
  <si>
    <t>ULAGANJA U UDJELE (DIONICE) PODUZETNIKA UNUTAR GRUPE</t>
  </si>
  <si>
    <t xml:space="preserve">MATERIJALNA IMOVINA </t>
  </si>
  <si>
    <t xml:space="preserve"> VRIJEDNOSNA USKLAĐENJA KRATKOTRAJNE IMOVINE (OSIM FINANCIJSKE)</t>
  </si>
  <si>
    <t>OSTALI POSLOVNI PRIHODI (IZVAN GRUPE)</t>
  </si>
  <si>
    <t>PRIHODI OD PRODAJE (IZVAN GRUPE)</t>
  </si>
  <si>
    <t xml:space="preserve">PRIHODI OD PRODAJE S PODUZETNICIMA UNUTAR GRUPE </t>
  </si>
  <si>
    <t>ODGOĐENO PLAĆANJE TROŠKOVA I PRIHOD BUDUĆEGA RAZDOBLJA</t>
  </si>
  <si>
    <t>Obračunati troškovi neiskorištenih godišnjih odmora</t>
  </si>
  <si>
    <t>Odgođeni prihodi - kupnja plina na financijskom tržištu (burza)</t>
  </si>
  <si>
    <t>Odgođeni prihodi iz donacija EU fondova</t>
  </si>
  <si>
    <t>Ostali obračunati troškovi</t>
  </si>
  <si>
    <t>29009</t>
  </si>
  <si>
    <t>19203100</t>
  </si>
  <si>
    <t>31.12.2022.</t>
  </si>
  <si>
    <t xml:space="preserve">      Petar Sprčić                                          Tomislav Šambić                                         Vice Oršulić                                            Frane Barbarić  </t>
  </si>
  <si>
    <t xml:space="preserve">  za razdoblje od 1.1.2022. do 31.12.2022.</t>
  </si>
  <si>
    <t xml:space="preserve">  za razdoblje od 1.1.2022 do 31.12.2022.</t>
  </si>
  <si>
    <t>2022.</t>
  </si>
  <si>
    <t>Stanje na dan 31.12.2021.</t>
  </si>
  <si>
    <t xml:space="preserve">Prihodi po SWAP transakcijama za izdane obveznice u 2015. godini </t>
  </si>
  <si>
    <t>16705</t>
  </si>
  <si>
    <t>1671</t>
  </si>
  <si>
    <t>1672</t>
  </si>
  <si>
    <t>Obveze prema državnim institucijama (Ministarstva, škole..)</t>
  </si>
  <si>
    <t>247901 D</t>
  </si>
  <si>
    <t>2476 D</t>
  </si>
  <si>
    <t>Ukupno (1 do 23)</t>
  </si>
  <si>
    <t>24790000 samo presude D</t>
  </si>
  <si>
    <t>Postrojenja, oprema, strojevi i ostalo</t>
  </si>
  <si>
    <t>04200000</t>
  </si>
  <si>
    <t>EIB (63.000.000,00 €)</t>
  </si>
  <si>
    <t>PBZ (1.314.000.000,00 kn)</t>
  </si>
  <si>
    <t>PBZ (600.000.000,00 €)</t>
  </si>
  <si>
    <t>PBZ (400.000.000,00 €)</t>
  </si>
  <si>
    <t>OTP (929.000.000,00 kn)</t>
  </si>
  <si>
    <t>OTP (385.000.000,00 kn)</t>
  </si>
  <si>
    <t>ZABA (1.314.000.000,00 kn)</t>
  </si>
  <si>
    <t>EBRD (87.000.000,00 €)</t>
  </si>
  <si>
    <t>EIB (43.000.000,00 €)</t>
  </si>
  <si>
    <t>94400</t>
  </si>
  <si>
    <t>94401</t>
  </si>
  <si>
    <t>Otplata obveznica iz 2015.</t>
  </si>
  <si>
    <t>94720+94721</t>
  </si>
  <si>
    <t>766-76632000-7665-7666,75039900,76006003</t>
  </si>
  <si>
    <t>7500710</t>
  </si>
  <si>
    <t>7500613</t>
  </si>
  <si>
    <t>75027100, 75029</t>
  </si>
  <si>
    <t>75042000+75046000</t>
  </si>
  <si>
    <t>Prihod od prodaje u inozemstvo - zakup kapacit. i zeleni cetifikati - el.en.</t>
  </si>
  <si>
    <t xml:space="preserve">Prihod od prodaje plina - Uredba Vlade RH </t>
  </si>
  <si>
    <t>75040000+75040001</t>
  </si>
  <si>
    <t>7504001</t>
  </si>
  <si>
    <t>Prihod od prodaje u inozemstvo - električna energija - preprodaja</t>
  </si>
  <si>
    <t>Prihod od prodaje električne energije - E-Punionice- HEP Opskrba d.o.o.</t>
  </si>
  <si>
    <t>Ukupno (1 do 17)</t>
  </si>
  <si>
    <t>750282</t>
  </si>
  <si>
    <t>7666</t>
  </si>
  <si>
    <t>Prihodi sukladno Uredbi Vlade RH</t>
  </si>
  <si>
    <t>788</t>
  </si>
  <si>
    <t>Ukupno (1 do 11)</t>
  </si>
  <si>
    <t>Prihodi od penala BE-TO</t>
  </si>
  <si>
    <t>400-4002</t>
  </si>
  <si>
    <t>Nab. vrije. prod. plina - Uredba Vlade RH</t>
  </si>
  <si>
    <t>Nab. vrije. prod. plina sa skladišta društvima HEP Grupe -Uredba Vlade RH</t>
  </si>
  <si>
    <t>71008000</t>
  </si>
  <si>
    <t>71680000</t>
  </si>
  <si>
    <t>7665-7165</t>
  </si>
  <si>
    <t>402</t>
  </si>
  <si>
    <t>452</t>
  </si>
  <si>
    <t>Vrijednosno usklađenje potraživanja od kupaca po računovod.politikama</t>
  </si>
  <si>
    <t>73600000</t>
  </si>
  <si>
    <t>Otpis dugotrajne materijalne imovine u pripremi</t>
  </si>
  <si>
    <t>73006000</t>
  </si>
  <si>
    <t>Troškovi zateznih kamata po računima unutar Grupe</t>
  </si>
  <si>
    <t>46730000</t>
  </si>
  <si>
    <t>72007</t>
  </si>
  <si>
    <t>41 ost.</t>
  </si>
  <si>
    <t>770</t>
  </si>
  <si>
    <t>763, 7670</t>
  </si>
  <si>
    <t>77210000, 77700000</t>
  </si>
  <si>
    <t>77102000,77603000,77604100,77701000,7771</t>
  </si>
  <si>
    <t>7250-77601500-7760212</t>
  </si>
  <si>
    <t>728</t>
  </si>
  <si>
    <t>Financ.rashodi od tečajnih razlika iz odnosa s povezanim poduzećima</t>
  </si>
  <si>
    <t>95210000</t>
  </si>
  <si>
    <t>003-00903-00907</t>
  </si>
  <si>
    <t>bilj.17</t>
  </si>
  <si>
    <t>02600000 (Kamgrad, Euro asfalt..)</t>
  </si>
  <si>
    <t>020-02900000</t>
  </si>
  <si>
    <t>021-02901-02909</t>
  </si>
  <si>
    <t>Potraživanja po dugoročnom zajmu  HEP Telekomunikacije d.o.o.</t>
  </si>
  <si>
    <t xml:space="preserve">HEP NOC </t>
  </si>
  <si>
    <t xml:space="preserve">Zalihe plina </t>
  </si>
  <si>
    <t>668</t>
  </si>
  <si>
    <t>Potraživanja za prodani plin po Uredbi Vlade RH</t>
  </si>
  <si>
    <t>14673</t>
  </si>
  <si>
    <t>46.</t>
  </si>
  <si>
    <t>1466,14670,1468,1454</t>
  </si>
  <si>
    <t>Blagajna</t>
  </si>
  <si>
    <t>29271</t>
  </si>
  <si>
    <t>943109,944009</t>
  </si>
  <si>
    <t>240,2464,2466,2467,2468,2572,282</t>
  </si>
  <si>
    <t>243,254,2571,267-26740000-26749000</t>
  </si>
  <si>
    <t>6671</t>
  </si>
  <si>
    <t>6672</t>
  </si>
  <si>
    <t>Zalihe plina po Uredbi Vlade RH</t>
  </si>
  <si>
    <t>Uplata glavnice po otkupljenim obveznicama</t>
  </si>
  <si>
    <t>04720 PTP</t>
  </si>
  <si>
    <t>Obveze po osnovu kamata i naknada</t>
  </si>
  <si>
    <t>Ukupno (1-2)</t>
  </si>
  <si>
    <t>za razdoblje 1.1.2023. do 31.12.2023.</t>
  </si>
  <si>
    <t>u EUR</t>
  </si>
  <si>
    <t>31.12.2023.</t>
  </si>
  <si>
    <r>
      <t xml:space="preserve">BILANCA </t>
    </r>
    <r>
      <rPr>
        <b/>
        <sz val="12"/>
        <color rgb="FF3C4682"/>
        <rFont val="Calibri"/>
        <family val="2"/>
        <scheme val="minor"/>
      </rPr>
      <t>stanje</t>
    </r>
    <r>
      <rPr>
        <b/>
        <sz val="16"/>
        <color rgb="FF3C4682"/>
        <rFont val="Calibri"/>
        <family val="2"/>
        <scheme val="minor"/>
      </rPr>
      <t xml:space="preserve"> </t>
    </r>
    <r>
      <rPr>
        <b/>
        <sz val="12"/>
        <color rgb="FF3C4682"/>
        <rFont val="Calibri"/>
        <family val="2"/>
        <scheme val="minor"/>
      </rPr>
      <t>na dan 31.12.2023.</t>
    </r>
  </si>
  <si>
    <t xml:space="preserve">  za razdoblje od 1.1.2023. do 31.12.2023.</t>
  </si>
  <si>
    <t>Bilanca</t>
  </si>
  <si>
    <t>RDG</t>
  </si>
  <si>
    <t>2023.</t>
  </si>
  <si>
    <t>Stanje na dan 31.12.2022.</t>
  </si>
  <si>
    <t>razlika između tečajeva za Bilancu i RDG - na "Gubitku poslovne godine"</t>
  </si>
  <si>
    <t>Razlika tečajeva</t>
  </si>
  <si>
    <t xml:space="preserve">      Petar Sprčić                                                                           Tomislav Šambić                                                                         Vice Oršulić                                            </t>
  </si>
  <si>
    <t xml:space="preserve">      Član Uprave                                                                           Član Uprave                                                                                 Predsjednik Uprave              </t>
  </si>
  <si>
    <t>=korigira se u Bilanci (pasivi), Izvj.o sveobuhv.dobiti i Promjenama kapitala</t>
  </si>
  <si>
    <t>+0,01</t>
  </si>
  <si>
    <t>-0,01</t>
  </si>
  <si>
    <t>-0,02</t>
  </si>
  <si>
    <t>Temeljni kapital društva iznosi 2.627.958.916,00 EUR, a podijeljen je na 10.995.644 komada redovnih dionica serije A1 s niminalnim iznosom od 239 EUR. Dionice Hrvatske elektroprivrede d.d. su u 100%-tnom vlasništvu Republike Hrvatske.</t>
  </si>
  <si>
    <t>Bilanca 1.1.22.</t>
  </si>
  <si>
    <t>Bilanca 31.12.22.</t>
  </si>
  <si>
    <t>RDG 31.12.22.</t>
  </si>
  <si>
    <t>Korekcija izvještaja 624. u 2023.: 71650000=380.386,94 € netiran sa 76650005  (energetske uštede)</t>
  </si>
  <si>
    <t>Korekcija izvještaja 626.: OPI na JANAF dio 04600000=5.538.450,60 kn (735.078,72 €) kraćena sa odg.por.obvezom dio 94900000=735.078,72 €</t>
  </si>
  <si>
    <t>Korekcija izvještaja 624. u 2023.: 78010 netiran sa73010000=24.239,34  (prodaja stalne imovine)</t>
  </si>
  <si>
    <t>1679 ost.</t>
  </si>
  <si>
    <t xml:space="preserve">16705,1671,1672,ost.1679,147051, ost.1479,14700000 </t>
  </si>
  <si>
    <t>1479 ost.</t>
  </si>
  <si>
    <t>Primici od penala - Đuro Đaković po sporazumu BE-TO Osijek</t>
  </si>
  <si>
    <t>14790000 dio</t>
  </si>
  <si>
    <t>Jasnina tabela</t>
  </si>
  <si>
    <t>Dokapitalizacija HEP Elektra d.o.o.</t>
  </si>
  <si>
    <t>04000001</t>
  </si>
  <si>
    <t>Dioničarski zajam RH MINGOR (400.000.000 €)</t>
  </si>
  <si>
    <t>ERSTE (100.000.000 €)</t>
  </si>
  <si>
    <t>Srednjoročni revolving zajam ODS d.o.o. (142.905.965,89 €)</t>
  </si>
  <si>
    <t>PBZ (150.000.000,00 €)</t>
  </si>
  <si>
    <t>ostalo</t>
  </si>
  <si>
    <t>49</t>
  </si>
  <si>
    <t>50</t>
  </si>
  <si>
    <t>51</t>
  </si>
  <si>
    <t>49.</t>
  </si>
  <si>
    <t>50.</t>
  </si>
  <si>
    <t>51.</t>
  </si>
  <si>
    <t>7502800</t>
  </si>
  <si>
    <t>Prihod od naknade za prijevremeni raskid ugovora za el.en.</t>
  </si>
  <si>
    <t>75038700</t>
  </si>
  <si>
    <t>75033005,75037130,75007113,75022005</t>
  </si>
  <si>
    <t>Prihodi od ukidanja dugoročnih rezerviranja - otpremnine i jubilarne nagrade</t>
  </si>
  <si>
    <t>759023</t>
  </si>
  <si>
    <t>Prihodi od refundacije troškova za strateške zalihe plina (MINGOR)</t>
  </si>
  <si>
    <t>Prihodi temeljem odluke Vlade RH-subvencija troškova plina</t>
  </si>
  <si>
    <t>Prihodi temeljem odluke Vlade RH-razlika nabavne i tržišne  prodajne cijene plina</t>
  </si>
  <si>
    <t>7167</t>
  </si>
  <si>
    <t>776</t>
  </si>
  <si>
    <t>46704000</t>
  </si>
  <si>
    <t>Troškovi kamata po zajmu ODS-a d.o.o. - HEP-u d.d.</t>
  </si>
  <si>
    <t>143,144,1471,147900,ost.167</t>
  </si>
  <si>
    <t>OBVEZE ZA ZAJMOVE, DEPOZITE I SLIČNO PODUZETNIKA UNUTAR GRUPE</t>
  </si>
  <si>
    <t>Obveze HEP-a prema ODS-u za zajam</t>
  </si>
  <si>
    <t>HEP Elektra d.o.o.</t>
  </si>
  <si>
    <t>Trgovina, Plin, Opskrba</t>
  </si>
  <si>
    <t>040,042 (04200000 analitika!)</t>
  </si>
  <si>
    <t>75051105,ost759,787,789 ost.</t>
  </si>
  <si>
    <t>78909000 pg 03</t>
  </si>
  <si>
    <t>468-769+7164 (ako je rashod veći)</t>
  </si>
  <si>
    <t>Korekcija izvještaja 624. u 2023.: 71650000=380.386,94 € netiran sa 76650005  (energetske uštede) - bilj.3</t>
  </si>
  <si>
    <t>77609100</t>
  </si>
  <si>
    <t>Financijski prihodi po osnovu valutne klauzule u zemlji - klirinški dug</t>
  </si>
  <si>
    <t>Potraživanje od RH za razliku nabavne i tržišne prodajne cijene plina</t>
  </si>
  <si>
    <t>16790000 dio - pg 03</t>
  </si>
  <si>
    <t>POTRAŽIVANJA OD DRŽAVE I DRUGIH INSTITUCIJA</t>
  </si>
  <si>
    <t>OBVEZE ZA ZAJMOVE, DEPOZITE I SLIČNO</t>
  </si>
  <si>
    <t>ost73-736</t>
  </si>
  <si>
    <t xml:space="preserve">7361+7362-75900310-75900311 (ako je rashod veći) </t>
  </si>
  <si>
    <t>Troškovi sukladno Uredbi Vlade RH do 31.3.2023. - HEP Opskrba - trž.opskrba poduzetništvo</t>
  </si>
  <si>
    <t>Troškovi sukladno Uredbi Vlade RH od 1.4.2023. i 1.10.2023. - HEP Opskrba - tržišna opskrba poduzetništvo</t>
  </si>
  <si>
    <t>75900312-73600000</t>
  </si>
  <si>
    <t xml:space="preserve">Prihod od nadoknade razlike cijene el.en.za gospodarstvo od 1.10.2022. - 31.3.2023. po Odluci Vlade RH - trž.opskrba </t>
  </si>
  <si>
    <t>Prihod temeljem Odluke Vlade RH - razlika nabavne i tržišne  prodaje cijene plina</t>
  </si>
  <si>
    <t>Otpis obveza</t>
  </si>
  <si>
    <t>Obveze za dioničarski zajam</t>
  </si>
  <si>
    <t>161</t>
  </si>
  <si>
    <t>16024300</t>
  </si>
  <si>
    <t>Potraživanja od MINGOR-a za nadoknadu razlike cijene el.en. za gospodarstvo za razdoblje 1.10.2022.-31.3.2023. po Odluci Vlade</t>
  </si>
  <si>
    <t>16100000</t>
  </si>
  <si>
    <t>Predujmovi poreza na dobit</t>
  </si>
  <si>
    <t>24.</t>
  </si>
  <si>
    <t>147903-247903 (ako je 147903 veći)</t>
  </si>
  <si>
    <t>247-247903 (bilj.26)</t>
  </si>
  <si>
    <t>Nab.vrij.prod.plina sa skladišta-uredba Vlade RH-Proizvodnja CTS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</si>
  <si>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(1 do 3)</t>
    </r>
  </si>
  <si>
    <r>
      <t xml:space="preserve">24. Stanje na zadnji dan izvještajnog razdoblja prethodne poslovne godine </t>
    </r>
    <r>
      <rPr>
        <sz val="8"/>
        <rFont val="Arial"/>
        <family val="2"/>
        <charset val="238"/>
      </rPr>
      <t>(4 do 23)</t>
    </r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</si>
  <si>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(6 do 14)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</si>
  <si>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(15 do 23)</t>
    </r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</si>
  <si>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(1 do 3)</t>
    </r>
  </si>
  <si>
    <r>
      <t xml:space="preserve">24. Stanje na zadnji dan izvještajnog razdoblja tekuće poslovne godine </t>
    </r>
    <r>
      <rPr>
        <sz val="8"/>
        <rFont val="Arial"/>
        <family val="2"/>
        <charset val="238"/>
      </rPr>
      <t>(4 do 23)</t>
    </r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</si>
  <si>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(6 do 14)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</si>
  <si>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(5 + I)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</si>
  <si>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(15 do 23)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</si>
  <si>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(5 + I)</t>
    </r>
  </si>
  <si>
    <t>Korekcija izvještaja 624. u 2023.: uk.iznos rash.od tečajnih razl.= 309.072,44 € je netiran sa prihodima od tečajnih razlika</t>
  </si>
  <si>
    <t xml:space="preserve">Korekcija 2022. - rezerviranje za neg. efekte Uredbe 1 </t>
  </si>
  <si>
    <t>Korekcija 2022. - rezerviranje za neg. efekte Uredbe 1 - 93390000=76.322.154 €</t>
  </si>
  <si>
    <t>2022.: razlika između tečajeva za Bilancu i RDG - na "Gubitku poslovne godine"</t>
  </si>
  <si>
    <t>75902000</t>
  </si>
  <si>
    <t>75902030</t>
  </si>
  <si>
    <t>Ukupno (1 do 19)</t>
  </si>
  <si>
    <t>DRUGA REZERVIRANJA</t>
  </si>
  <si>
    <t>knjiženo na 95100000-preneseni gubitak 1.1.2023.</t>
  </si>
  <si>
    <t>77603,77701000 - netirano s rashodima od teč.razlika = 309.072,44</t>
  </si>
  <si>
    <t>7251  netirano 309.072,44 s prih.od teč.razlika</t>
  </si>
  <si>
    <t>7267</t>
  </si>
  <si>
    <t>7292</t>
  </si>
  <si>
    <t xml:space="preserve">Nerealizirani gubici (rashodi) od fer vrednovanja udjela   </t>
  </si>
  <si>
    <t>52</t>
  </si>
  <si>
    <t>53</t>
  </si>
  <si>
    <t>52.</t>
  </si>
  <si>
    <t>53.</t>
  </si>
  <si>
    <t>Rezerviranja za troškove isporučene el.energije iz Vjetroelektrane Vrataruša, Senj</t>
  </si>
  <si>
    <t xml:space="preserve">      Član Uprave                                                                           Član Uprave                                                                              Predsjednik Uprave              </t>
  </si>
  <si>
    <t xml:space="preserve">      Petar Sprčić                                                                           Tomislav Šambić                                                                      Vice Oršulić                                            </t>
  </si>
  <si>
    <t xml:space="preserve">Prihodi od ukidanja rezerviranja za negativne efekte Uredbe 1 temeljem Odluke Vlade (1.1.-31.3.2023.) </t>
  </si>
  <si>
    <t xml:space="preserve">Rezerviranja za negativne efekte Uredbe 1 temeljem Odluke Vlade (1.1.-31.3.2023.) </t>
  </si>
  <si>
    <t>9339000 1.1.2023.</t>
  </si>
  <si>
    <t>Korekcija 2022. - RBA -neposlovni dio (dan u zakup) u Ulag.u nekretnine = 2.660.256,63 €</t>
  </si>
  <si>
    <t>Korekcija 2022. - RBA -neposlovni dio (dan u zakup) iz Građ.objekata = 2.660.256,63 €</t>
  </si>
  <si>
    <t>31.12.2022. prepravljeno</t>
  </si>
  <si>
    <t>31.12.2022.               reklasifikacija</t>
  </si>
  <si>
    <t xml:space="preserve">Korekcija 2022. - OPI na rezerviranje za neg. efekte Uredbe 1 = 13.737.987,72 €; u 2023. ukidanje OPI </t>
  </si>
  <si>
    <t>Korekcija 2022. - rezerviranje za neg. efekte Uredbe 1  95100000=76.322.154 € i OPI  95210000 = 13.737.987,72 € (OPI ukinuta u 2023.)</t>
  </si>
  <si>
    <t>Korekcija 2022. za OPI 95210000 = 13.737.987,72 € (OPI na rezerviranje za neg. efekte Uredbe 1) - ukinuta u 2023.</t>
  </si>
  <si>
    <t>Zalihe plina po Odluci Vlade RH</t>
  </si>
  <si>
    <t xml:space="preserve">Potraživanja od MINGOR-a  - refundacije troškova za zalihe plina po Odluci Vlade </t>
  </si>
  <si>
    <t>Odgođeno priznavanje prihoda - plin po Odluci Vlade RH</t>
  </si>
  <si>
    <t xml:space="preserve">Primici Minist.gospodarstva - refundacija troškova za zalihe plina po Odluci Vlade </t>
  </si>
  <si>
    <t>Druga rezerviranja</t>
  </si>
  <si>
    <t>17. lipnja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</si>
</sst>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n_-;\-* #,##0.00\ _k_n_-;_-* &quot;-&quot;??\ _k_n_-;_-@_-"/>
    <numFmt numFmtId="165" formatCode="#,##0\ _k_n"/>
    <numFmt numFmtId="166" formatCode="00"/>
    <numFmt numFmtId="167" formatCode="#,##0.00000"/>
    <numFmt numFmtId="168" formatCode="#,##0.000000"/>
  </numFmts>
  <fonts count="9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9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6"/>
      <color rgb="FF3C4682"/>
      <name val="Calibri"/>
      <family val="2"/>
      <scheme val="minor"/>
    </font>
    <font>
      <b/>
      <sz val="12"/>
      <color rgb="FF3C4682"/>
      <name val="Calibri"/>
      <family val="2"/>
      <scheme val="minor"/>
    </font>
    <font>
      <sz val="16"/>
      <color rgb="FF3C4682"/>
      <name val="Calibri"/>
      <family val="2"/>
      <scheme val="minor"/>
    </font>
    <font>
      <b/>
      <sz val="9"/>
      <color rgb="FF3C4682"/>
      <name val="Calibri"/>
      <family val="2"/>
      <scheme val="minor"/>
    </font>
    <font>
      <sz val="12"/>
      <color rgb="FF3C468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rgb="FF3C4682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1"/>
      <color rgb="FF3C468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20"/>
      <color rgb="FF3C4682"/>
      <name val="Calibri"/>
      <family val="2"/>
      <scheme val="minor"/>
    </font>
    <font>
      <sz val="8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7"/>
      <color indexed="9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16"/>
      <color theme="4" tint="-0.499984740745262"/>
      <name val="Calibri"/>
      <family val="2"/>
      <charset val="238"/>
      <scheme val="minor"/>
    </font>
    <font>
      <b/>
      <sz val="11"/>
      <color rgb="FF3C4682"/>
      <name val="Calibri"/>
      <family val="2"/>
      <charset val="238"/>
      <scheme val="minor"/>
    </font>
    <font>
      <sz val="11"/>
      <color rgb="FF3C468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0"/>
      <name val="Arial"/>
      <family val="2"/>
      <charset val="238"/>
    </font>
    <font>
      <sz val="11"/>
      <color indexed="8"/>
      <name val="Calibri"/>
      <family val="2"/>
      <scheme val="minor"/>
    </font>
    <font>
      <i/>
      <sz val="9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3C4682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theme="4" tint="-0.499984740745262"/>
      <name val="Calibri"/>
      <family val="2"/>
      <charset val="238"/>
      <scheme val="minor"/>
    </font>
    <font>
      <b/>
      <sz val="9"/>
      <color theme="4" tint="-0.499984740745262"/>
      <name val="Calibri"/>
      <family val="2"/>
      <scheme val="minor"/>
    </font>
    <font>
      <b/>
      <i/>
      <sz val="9"/>
      <color rgb="FFFF0000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22"/>
        <bgColor indexed="22"/>
      </patternFill>
    </fill>
    <fill>
      <patternFill patternType="lightUp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34998626667073579"/>
      </top>
      <bottom style="thin">
        <color theme="0" tint="-0.14996795556505021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 style="medium">
        <color indexed="64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34998626667073579"/>
      </top>
      <bottom style="thick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22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7" fillId="0" borderId="0"/>
    <xf numFmtId="0" fontId="10" fillId="0" borderId="0"/>
    <xf numFmtId="164" fontId="30" fillId="0" borderId="0" applyFont="0" applyFill="0" applyBorder="0" applyAlignment="0" applyProtection="0"/>
    <xf numFmtId="0" fontId="32" fillId="0" borderId="0">
      <alignment vertical="top"/>
    </xf>
    <xf numFmtId="0" fontId="84" fillId="9" borderId="0" applyNumberFormat="0" applyBorder="0" applyAlignment="0" applyProtection="0"/>
  </cellStyleXfs>
  <cellXfs count="791">
    <xf numFmtId="0" fontId="0" fillId="0" borderId="0" xfId="0"/>
    <xf numFmtId="3" fontId="0" fillId="0" borderId="0" xfId="0" applyNumberFormat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/>
    <xf numFmtId="0" fontId="9" fillId="0" borderId="0" xfId="0" applyFont="1" applyBorder="1" applyAlignment="1">
      <alignment horizontal="center"/>
    </xf>
    <xf numFmtId="49" fontId="14" fillId="0" borderId="5" xfId="1" applyNumberFormat="1" applyFont="1" applyFill="1" applyBorder="1" applyAlignment="1" applyProtection="1">
      <alignment horizontal="center" vertical="center"/>
      <protection locked="0"/>
    </xf>
    <xf numFmtId="49" fontId="14" fillId="0" borderId="2" xfId="1" applyNumberFormat="1" applyFont="1" applyFill="1" applyBorder="1" applyAlignment="1" applyProtection="1">
      <alignment horizontal="center" vertical="center"/>
      <protection locked="0"/>
    </xf>
    <xf numFmtId="3" fontId="15" fillId="0" borderId="2" xfId="1" applyNumberFormat="1" applyFont="1" applyFill="1" applyBorder="1" applyAlignment="1" applyProtection="1">
      <alignment horizontal="right" vertical="center" shrinkToFit="1"/>
      <protection locked="0"/>
    </xf>
    <xf numFmtId="49" fontId="14" fillId="0" borderId="3" xfId="1" applyNumberFormat="1" applyFont="1" applyFill="1" applyBorder="1" applyAlignment="1" applyProtection="1">
      <alignment horizontal="center" vertical="center"/>
      <protection locked="0"/>
    </xf>
    <xf numFmtId="49" fontId="14" fillId="0" borderId="2" xfId="1" applyNumberFormat="1" applyFont="1" applyFill="1" applyBorder="1" applyAlignment="1" applyProtection="1">
      <alignment vertical="center"/>
      <protection locked="0"/>
    </xf>
    <xf numFmtId="3" fontId="15" fillId="0" borderId="2" xfId="1" applyNumberFormat="1" applyFont="1" applyFill="1" applyBorder="1" applyAlignment="1" applyProtection="1">
      <alignment vertical="center"/>
      <protection locked="0"/>
    </xf>
    <xf numFmtId="0" fontId="18" fillId="0" borderId="0" xfId="0" applyFont="1"/>
    <xf numFmtId="0" fontId="0" fillId="0" borderId="0" xfId="0" applyAlignment="1">
      <alignment vertical="center"/>
    </xf>
    <xf numFmtId="3" fontId="15" fillId="0" borderId="2" xfId="1" applyNumberFormat="1" applyFont="1" applyFill="1" applyBorder="1" applyAlignment="1" applyProtection="1">
      <alignment horizontal="right" vertical="center" shrinkToFit="1"/>
      <protection hidden="1"/>
    </xf>
    <xf numFmtId="3" fontId="14" fillId="0" borderId="2" xfId="1" applyNumberFormat="1" applyFont="1" applyFill="1" applyBorder="1" applyAlignment="1" applyProtection="1">
      <alignment horizontal="right" vertical="center" shrinkToFit="1"/>
      <protection hidden="1"/>
    </xf>
    <xf numFmtId="3" fontId="15" fillId="0" borderId="3" xfId="1" applyNumberFormat="1" applyFont="1" applyFill="1" applyBorder="1" applyAlignment="1" applyProtection="1">
      <alignment horizontal="right" vertical="center" shrinkToFit="1"/>
      <protection hidden="1"/>
    </xf>
    <xf numFmtId="3" fontId="19" fillId="0" borderId="5" xfId="1" applyNumberFormat="1" applyFont="1" applyFill="1" applyBorder="1" applyAlignment="1" applyProtection="1">
      <alignment horizontal="right" vertical="center" shrinkToFit="1"/>
      <protection locked="0"/>
    </xf>
    <xf numFmtId="3" fontId="14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21" fillId="0" borderId="0" xfId="0" applyFont="1"/>
    <xf numFmtId="0" fontId="15" fillId="4" borderId="7" xfId="1" applyFont="1" applyFill="1" applyBorder="1" applyAlignment="1">
      <alignment horizontal="left" vertical="center"/>
    </xf>
    <xf numFmtId="0" fontId="0" fillId="0" borderId="0" xfId="0" applyFill="1"/>
    <xf numFmtId="0" fontId="22" fillId="0" borderId="4" xfId="0" applyFont="1" applyBorder="1" applyAlignment="1">
      <alignment horizontal="right" vertical="center" wrapText="1"/>
    </xf>
    <xf numFmtId="3" fontId="26" fillId="0" borderId="2" xfId="1" applyNumberFormat="1" applyFont="1" applyFill="1" applyBorder="1" applyAlignment="1" applyProtection="1">
      <alignment horizontal="right" vertical="center" shrinkToFit="1"/>
      <protection hidden="1"/>
    </xf>
    <xf numFmtId="49" fontId="26" fillId="0" borderId="2" xfId="1" applyNumberFormat="1" applyFont="1" applyFill="1" applyBorder="1" applyAlignment="1" applyProtection="1">
      <alignment horizontal="center" vertical="center"/>
      <protection locked="0"/>
    </xf>
    <xf numFmtId="3" fontId="26" fillId="0" borderId="2" xfId="1" applyNumberFormat="1" applyFont="1" applyFill="1" applyBorder="1" applyAlignment="1" applyProtection="1">
      <alignment horizontal="right" vertical="center" shrinkToFit="1"/>
      <protection locked="0"/>
    </xf>
    <xf numFmtId="49" fontId="26" fillId="0" borderId="5" xfId="1" applyNumberFormat="1" applyFont="1" applyFill="1" applyBorder="1" applyAlignment="1" applyProtection="1">
      <alignment horizontal="center" vertical="center"/>
      <protection locked="0"/>
    </xf>
    <xf numFmtId="3" fontId="26" fillId="0" borderId="5" xfId="1" applyNumberFormat="1" applyFont="1" applyFill="1" applyBorder="1" applyAlignment="1" applyProtection="1">
      <alignment horizontal="right" vertical="center" shrinkToFit="1"/>
      <protection hidden="1"/>
    </xf>
    <xf numFmtId="49" fontId="26" fillId="0" borderId="1" xfId="1" applyNumberFormat="1" applyFont="1" applyFill="1" applyBorder="1" applyAlignment="1" applyProtection="1">
      <alignment horizontal="center" vertical="center"/>
      <protection locked="0"/>
    </xf>
    <xf numFmtId="3" fontId="26" fillId="0" borderId="1" xfId="1" applyNumberFormat="1" applyFont="1" applyFill="1" applyBorder="1" applyAlignment="1" applyProtection="1">
      <alignment horizontal="right" vertical="center" shrinkToFit="1"/>
      <protection hidden="1"/>
    </xf>
    <xf numFmtId="49" fontId="26" fillId="0" borderId="2" xfId="1" applyNumberFormat="1" applyFont="1" applyFill="1" applyBorder="1" applyAlignment="1" applyProtection="1">
      <alignment vertical="center"/>
      <protection locked="0"/>
    </xf>
    <xf numFmtId="3" fontId="26" fillId="0" borderId="2" xfId="1" applyNumberFormat="1" applyFont="1" applyFill="1" applyBorder="1" applyAlignment="1" applyProtection="1">
      <alignment vertical="center"/>
      <protection locked="0"/>
    </xf>
    <xf numFmtId="3" fontId="26" fillId="0" borderId="2" xfId="1" applyNumberFormat="1" applyFont="1" applyFill="1" applyBorder="1" applyAlignment="1" applyProtection="1">
      <alignment vertical="center"/>
      <protection hidden="1"/>
    </xf>
    <xf numFmtId="49" fontId="26" fillId="0" borderId="3" xfId="1" applyNumberFormat="1" applyFont="1" applyFill="1" applyBorder="1" applyAlignment="1" applyProtection="1">
      <alignment vertical="center"/>
      <protection locked="0"/>
    </xf>
    <xf numFmtId="3" fontId="26" fillId="0" borderId="3" xfId="1" applyNumberFormat="1" applyFont="1" applyFill="1" applyBorder="1" applyAlignment="1" applyProtection="1">
      <alignment vertical="center"/>
      <protection hidden="1"/>
    </xf>
    <xf numFmtId="3" fontId="28" fillId="0" borderId="2" xfId="1" applyNumberFormat="1" applyFont="1" applyFill="1" applyBorder="1" applyAlignment="1" applyProtection="1">
      <alignment horizontal="right" vertical="center" shrinkToFit="1"/>
      <protection hidden="1"/>
    </xf>
    <xf numFmtId="49" fontId="29" fillId="0" borderId="2" xfId="1" applyNumberFormat="1" applyFont="1" applyFill="1" applyBorder="1" applyAlignment="1" applyProtection="1">
      <alignment horizontal="center" vertical="center"/>
      <protection locked="0"/>
    </xf>
    <xf numFmtId="3" fontId="28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15" fillId="4" borderId="8" xfId="1" applyFont="1" applyFill="1" applyBorder="1" applyAlignment="1">
      <alignment horizontal="left" vertical="center"/>
    </xf>
    <xf numFmtId="3" fontId="15" fillId="0" borderId="3" xfId="1" applyNumberFormat="1" applyFont="1" applyFill="1" applyBorder="1" applyAlignment="1" applyProtection="1">
      <alignment horizontal="right" vertical="center" shrinkToFit="1"/>
      <protection locked="0"/>
    </xf>
    <xf numFmtId="0" fontId="16" fillId="2" borderId="9" xfId="1" applyFont="1" applyFill="1" applyBorder="1" applyAlignment="1" applyProtection="1">
      <alignment horizontal="center" vertical="center" wrapText="1"/>
      <protection hidden="1"/>
    </xf>
    <xf numFmtId="0" fontId="13" fillId="0" borderId="7" xfId="1" applyFont="1" applyFill="1" applyBorder="1" applyAlignment="1">
      <alignment horizontal="left" vertical="center" wrapText="1"/>
    </xf>
    <xf numFmtId="49" fontId="14" fillId="0" borderId="7" xfId="1" applyNumberFormat="1" applyFont="1" applyFill="1" applyBorder="1" applyAlignment="1" applyProtection="1">
      <alignment horizontal="center" vertical="center"/>
      <protection locked="0"/>
    </xf>
    <xf numFmtId="3" fontId="15" fillId="0" borderId="7" xfId="1" applyNumberFormat="1" applyFont="1" applyFill="1" applyBorder="1" applyAlignment="1" applyProtection="1">
      <alignment horizontal="right" vertical="center" shrinkToFit="1"/>
      <protection locked="0"/>
    </xf>
    <xf numFmtId="0" fontId="22" fillId="0" borderId="0" xfId="0" applyFont="1"/>
    <xf numFmtId="49" fontId="14" fillId="0" borderId="5" xfId="0" applyNumberFormat="1" applyFont="1" applyFill="1" applyBorder="1" applyAlignment="1" applyProtection="1">
      <alignment horizontal="center" vertical="center"/>
      <protection locked="0" hidden="1"/>
    </xf>
    <xf numFmtId="49" fontId="14" fillId="0" borderId="2" xfId="0" applyNumberFormat="1" applyFont="1" applyFill="1" applyBorder="1" applyAlignment="1" applyProtection="1">
      <alignment horizontal="center" vertical="center"/>
      <protection locked="0" hidden="1"/>
    </xf>
    <xf numFmtId="3" fontId="14" fillId="0" borderId="2" xfId="0" applyNumberFormat="1" applyFont="1" applyFill="1" applyBorder="1" applyAlignment="1" applyProtection="1">
      <alignment vertical="center"/>
      <protection locked="0"/>
    </xf>
    <xf numFmtId="49" fontId="14" fillId="0" borderId="3" xfId="0" applyNumberFormat="1" applyFont="1" applyFill="1" applyBorder="1" applyAlignment="1" applyProtection="1">
      <alignment horizontal="center" vertical="center"/>
      <protection locked="0" hidden="1"/>
    </xf>
    <xf numFmtId="3" fontId="14" fillId="0" borderId="2" xfId="0" applyNumberFormat="1" applyFont="1" applyFill="1" applyBorder="1" applyAlignment="1" applyProtection="1">
      <alignment vertical="center"/>
      <protection hidden="1"/>
    </xf>
    <xf numFmtId="3" fontId="14" fillId="0" borderId="3" xfId="0" applyNumberFormat="1" applyFont="1" applyFill="1" applyBorder="1" applyAlignment="1" applyProtection="1">
      <alignment vertical="center"/>
      <protection hidden="1"/>
    </xf>
    <xf numFmtId="0" fontId="38" fillId="0" borderId="0" xfId="0" applyFont="1" applyAlignment="1">
      <alignment vertical="center"/>
    </xf>
    <xf numFmtId="49" fontId="41" fillId="0" borderId="0" xfId="0" applyNumberFormat="1" applyFont="1" applyFill="1" applyAlignment="1">
      <alignment horizontal="left" vertical="center"/>
    </xf>
    <xf numFmtId="0" fontId="16" fillId="3" borderId="9" xfId="1" applyFont="1" applyFill="1" applyBorder="1" applyAlignment="1" applyProtection="1">
      <alignment horizontal="center" vertical="center" wrapText="1"/>
      <protection hidden="1"/>
    </xf>
    <xf numFmtId="3" fontId="39" fillId="0" borderId="3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42" fillId="0" borderId="0" xfId="0" applyFont="1"/>
    <xf numFmtId="0" fontId="46" fillId="0" borderId="0" xfId="0" applyFont="1" applyFill="1" applyBorder="1" applyAlignment="1">
      <alignment vertical="center"/>
    </xf>
    <xf numFmtId="0" fontId="47" fillId="0" borderId="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40" fillId="0" borderId="0" xfId="0" applyFont="1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54" fillId="0" borderId="17" xfId="2" applyFont="1" applyBorder="1" applyAlignment="1" applyProtection="1">
      <alignment horizontal="left" vertical="center"/>
      <protection hidden="1"/>
    </xf>
    <xf numFmtId="0" fontId="55" fillId="0" borderId="17" xfId="0" applyFont="1" applyBorder="1" applyAlignment="1">
      <alignment horizontal="left" vertical="center"/>
    </xf>
    <xf numFmtId="0" fontId="0" fillId="0" borderId="17" xfId="0" applyFont="1" applyBorder="1" applyAlignment="1"/>
    <xf numFmtId="0" fontId="5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7" fillId="0" borderId="0" xfId="0" applyFont="1" applyBorder="1" applyAlignment="1">
      <alignment horizontal="right"/>
    </xf>
    <xf numFmtId="0" fontId="58" fillId="4" borderId="18" xfId="0" applyFont="1" applyFill="1" applyBorder="1" applyAlignment="1">
      <alignment horizontal="center" wrapText="1"/>
    </xf>
    <xf numFmtId="0" fontId="58" fillId="4" borderId="18" xfId="0" applyFont="1" applyFill="1" applyBorder="1" applyAlignment="1">
      <alignment horizontal="center" vertical="center" wrapText="1"/>
    </xf>
    <xf numFmtId="3" fontId="40" fillId="4" borderId="18" xfId="0" applyNumberFormat="1" applyFont="1" applyFill="1" applyBorder="1" applyAlignment="1">
      <alignment horizontal="right" vertical="center"/>
    </xf>
    <xf numFmtId="0" fontId="58" fillId="4" borderId="18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59" fillId="0" borderId="19" xfId="0" applyFont="1" applyBorder="1" applyAlignment="1">
      <alignment vertical="center"/>
    </xf>
    <xf numFmtId="3" fontId="40" fillId="0" borderId="19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3" fontId="40" fillId="0" borderId="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59" fillId="0" borderId="20" xfId="0" applyFont="1" applyBorder="1" applyAlignment="1">
      <alignment vertical="center"/>
    </xf>
    <xf numFmtId="3" fontId="40" fillId="0" borderId="20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0" fontId="40" fillId="4" borderId="21" xfId="0" applyFont="1" applyFill="1" applyBorder="1" applyAlignment="1">
      <alignment vertical="center"/>
    </xf>
    <xf numFmtId="3" fontId="40" fillId="4" borderId="2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59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0" fontId="59" fillId="0" borderId="0" xfId="0" applyFont="1" applyBorder="1"/>
    <xf numFmtId="3" fontId="59" fillId="0" borderId="0" xfId="0" applyNumberFormat="1" applyFont="1" applyFill="1" applyBorder="1" applyAlignment="1" applyProtection="1">
      <alignment vertical="center"/>
      <protection locked="0"/>
    </xf>
    <xf numFmtId="0" fontId="60" fillId="4" borderId="21" xfId="0" applyFont="1" applyFill="1" applyBorder="1" applyAlignment="1">
      <alignment vertical="center"/>
    </xf>
    <xf numFmtId="49" fontId="61" fillId="0" borderId="0" xfId="0" applyNumberFormat="1" applyFont="1" applyBorder="1" applyAlignment="1">
      <alignment horizontal="center" vertical="center"/>
    </xf>
    <xf numFmtId="3" fontId="4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35" fillId="0" borderId="0" xfId="0" applyNumberFormat="1" applyFont="1" applyAlignment="1">
      <alignment horizontal="left" vertical="center"/>
    </xf>
    <xf numFmtId="49" fontId="35" fillId="0" borderId="0" xfId="0" applyNumberFormat="1" applyFont="1" applyAlignment="1">
      <alignment horizontal="left" vertical="center"/>
    </xf>
    <xf numFmtId="2" fontId="35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2" fontId="43" fillId="0" borderId="0" xfId="0" applyNumberFormat="1" applyFont="1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3" fontId="0" fillId="0" borderId="2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0" fontId="59" fillId="0" borderId="0" xfId="0" applyFont="1" applyBorder="1" applyAlignment="1">
      <alignment vertical="center" wrapText="1"/>
    </xf>
    <xf numFmtId="3" fontId="60" fillId="0" borderId="0" xfId="0" applyNumberFormat="1" applyFont="1" applyBorder="1" applyAlignment="1">
      <alignment horizontal="right" vertical="center"/>
    </xf>
    <xf numFmtId="3" fontId="60" fillId="0" borderId="20" xfId="0" applyNumberFormat="1" applyFont="1" applyBorder="1" applyAlignment="1">
      <alignment horizontal="right" vertical="center"/>
    </xf>
    <xf numFmtId="0" fontId="59" fillId="0" borderId="19" xfId="0" applyFont="1" applyBorder="1" applyAlignment="1">
      <alignment vertical="center" wrapText="1"/>
    </xf>
    <xf numFmtId="3" fontId="59" fillId="0" borderId="0" xfId="0" applyNumberFormat="1" applyFont="1" applyBorder="1" applyAlignment="1">
      <alignment vertical="center"/>
    </xf>
    <xf numFmtId="0" fontId="59" fillId="0" borderId="0" xfId="0" applyFont="1" applyBorder="1" applyAlignment="1"/>
    <xf numFmtId="3" fontId="40" fillId="0" borderId="0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3" fontId="42" fillId="0" borderId="0" xfId="0" applyNumberFormat="1" applyFont="1" applyBorder="1" applyAlignment="1">
      <alignment horizontal="right"/>
    </xf>
    <xf numFmtId="3" fontId="6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 vertical="center"/>
    </xf>
    <xf numFmtId="3" fontId="63" fillId="0" borderId="0" xfId="0" applyNumberFormat="1" applyFont="1" applyBorder="1" applyAlignment="1">
      <alignment horizontal="right" vertical="center"/>
    </xf>
    <xf numFmtId="3" fontId="62" fillId="0" borderId="0" xfId="0" applyNumberFormat="1" applyFont="1" applyBorder="1" applyAlignment="1">
      <alignment horizontal="right" vertical="center"/>
    </xf>
    <xf numFmtId="0" fontId="64" fillId="0" borderId="0" xfId="0" applyFont="1" applyAlignment="1">
      <alignment vertical="center"/>
    </xf>
    <xf numFmtId="3" fontId="59" fillId="0" borderId="0" xfId="0" applyNumberFormat="1" applyFont="1" applyFill="1" applyBorder="1" applyAlignment="1">
      <alignment horizontal="right" vertical="center"/>
    </xf>
    <xf numFmtId="3" fontId="5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4" fontId="64" fillId="0" borderId="0" xfId="0" applyNumberFormat="1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49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vertical="center"/>
    </xf>
    <xf numFmtId="0" fontId="59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5" fillId="0" borderId="0" xfId="0" applyFont="1" applyAlignment="1">
      <alignment horizontal="left" vertical="center" wrapText="1"/>
    </xf>
    <xf numFmtId="0" fontId="66" fillId="0" borderId="1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2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38" fillId="0" borderId="0" xfId="0" applyFont="1" applyFill="1" applyAlignment="1">
      <alignment vertical="center"/>
    </xf>
    <xf numFmtId="3" fontId="38" fillId="0" borderId="0" xfId="0" applyNumberFormat="1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66" fillId="0" borderId="20" xfId="0" applyFont="1" applyBorder="1" applyAlignment="1">
      <alignment vertical="center"/>
    </xf>
    <xf numFmtId="0" fontId="38" fillId="0" borderId="20" xfId="0" applyFont="1" applyBorder="1" applyAlignment="1">
      <alignment horizontal="right" vertical="center"/>
    </xf>
    <xf numFmtId="3" fontId="63" fillId="0" borderId="20" xfId="0" applyNumberFormat="1" applyFont="1" applyBorder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40" fillId="4" borderId="23" xfId="0" applyFont="1" applyFill="1" applyBorder="1" applyAlignment="1">
      <alignment horizontal="center" vertical="center"/>
    </xf>
    <xf numFmtId="0" fontId="40" fillId="4" borderId="24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4" borderId="20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35" fillId="0" borderId="25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59" fillId="0" borderId="0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horizontal="center"/>
    </xf>
    <xf numFmtId="0" fontId="40" fillId="4" borderId="26" xfId="0" applyFont="1" applyFill="1" applyBorder="1" applyAlignment="1">
      <alignment vertical="center"/>
    </xf>
    <xf numFmtId="3" fontId="40" fillId="4" borderId="26" xfId="0" applyNumberFormat="1" applyFont="1" applyFill="1" applyBorder="1" applyAlignment="1">
      <alignment horizontal="right" vertical="center"/>
    </xf>
    <xf numFmtId="3" fontId="59" fillId="4" borderId="26" xfId="0" applyNumberFormat="1" applyFont="1" applyFill="1" applyBorder="1" applyAlignment="1">
      <alignment horizontal="right" vertical="center"/>
    </xf>
    <xf numFmtId="3" fontId="40" fillId="4" borderId="26" xfId="0" applyNumberFormat="1" applyFont="1" applyFill="1" applyBorder="1" applyAlignment="1">
      <alignment vertical="center"/>
    </xf>
    <xf numFmtId="3" fontId="60" fillId="4" borderId="26" xfId="0" applyNumberFormat="1" applyFont="1" applyFill="1" applyBorder="1" applyAlignment="1">
      <alignment horizontal="right" vertical="center"/>
    </xf>
    <xf numFmtId="3" fontId="60" fillId="4" borderId="26" xfId="0" applyNumberFormat="1" applyFont="1" applyFill="1" applyBorder="1" applyAlignment="1">
      <alignment vertical="center"/>
    </xf>
    <xf numFmtId="3" fontId="40" fillId="0" borderId="0" xfId="0" applyNumberFormat="1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right" vertical="center"/>
    </xf>
    <xf numFmtId="0" fontId="65" fillId="0" borderId="25" xfId="0" applyFont="1" applyBorder="1" applyAlignment="1">
      <alignment horizontal="center" wrapText="1"/>
    </xf>
    <xf numFmtId="0" fontId="65" fillId="0" borderId="25" xfId="0" applyFont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3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0" fontId="40" fillId="4" borderId="27" xfId="0" applyFont="1" applyFill="1" applyBorder="1" applyAlignment="1">
      <alignment horizontal="center"/>
    </xf>
    <xf numFmtId="0" fontId="40" fillId="4" borderId="27" xfId="0" applyFont="1" applyFill="1" applyBorder="1" applyAlignment="1">
      <alignment vertical="center"/>
    </xf>
    <xf numFmtId="0" fontId="40" fillId="4" borderId="27" xfId="0" applyFont="1" applyFill="1" applyBorder="1" applyAlignment="1">
      <alignment horizontal="right" vertical="center"/>
    </xf>
    <xf numFmtId="3" fontId="60" fillId="4" borderId="27" xfId="0" applyNumberFormat="1" applyFont="1" applyFill="1" applyBorder="1" applyAlignment="1">
      <alignment horizontal="right" vertical="center"/>
    </xf>
    <xf numFmtId="4" fontId="40" fillId="4" borderId="27" xfId="0" applyNumberFormat="1" applyFont="1" applyFill="1" applyBorder="1" applyAlignment="1">
      <alignment horizontal="right" vertical="center"/>
    </xf>
    <xf numFmtId="3" fontId="60" fillId="4" borderId="27" xfId="0" applyNumberFormat="1" applyFont="1" applyFill="1" applyBorder="1" applyAlignment="1">
      <alignment vertical="center"/>
    </xf>
    <xf numFmtId="3" fontId="40" fillId="0" borderId="0" xfId="0" applyNumberFormat="1" applyFont="1" applyAlignment="1">
      <alignment vertical="center"/>
    </xf>
    <xf numFmtId="3" fontId="59" fillId="0" borderId="28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0" fontId="0" fillId="4" borderId="29" xfId="0" applyFont="1" applyFill="1" applyBorder="1" applyAlignment="1">
      <alignment horizontal="center"/>
    </xf>
    <xf numFmtId="3" fontId="40" fillId="4" borderId="29" xfId="0" applyNumberFormat="1" applyFont="1" applyFill="1" applyBorder="1" applyAlignment="1">
      <alignment horizontal="right" vertical="center"/>
    </xf>
    <xf numFmtId="3" fontId="60" fillId="4" borderId="29" xfId="0" applyNumberFormat="1" applyFont="1" applyFill="1" applyBorder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40" fillId="4" borderId="21" xfId="0" applyFont="1" applyFill="1" applyBorder="1" applyAlignment="1">
      <alignment horizontal="center"/>
    </xf>
    <xf numFmtId="0" fontId="59" fillId="0" borderId="0" xfId="0" applyFont="1" applyBorder="1" applyAlignment="1">
      <alignment horizontal="right" vertical="center"/>
    </xf>
    <xf numFmtId="0" fontId="0" fillId="0" borderId="30" xfId="0" applyFont="1" applyBorder="1" applyAlignment="1">
      <alignment horizontal="center"/>
    </xf>
    <xf numFmtId="0" fontId="40" fillId="0" borderId="30" xfId="0" applyFont="1" applyBorder="1" applyAlignment="1">
      <alignment vertical="center"/>
    </xf>
    <xf numFmtId="3" fontId="40" fillId="0" borderId="3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3" fontId="59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3" fontId="59" fillId="0" borderId="20" xfId="0" applyNumberFormat="1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0" fontId="40" fillId="4" borderId="31" xfId="0" applyFont="1" applyFill="1" applyBorder="1" applyAlignment="1">
      <alignment horizontal="center"/>
    </xf>
    <xf numFmtId="0" fontId="40" fillId="4" borderId="31" xfId="0" applyFont="1" applyFill="1" applyBorder="1" applyAlignment="1">
      <alignment vertical="center"/>
    </xf>
    <xf numFmtId="3" fontId="40" fillId="4" borderId="31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3" fontId="34" fillId="0" borderId="0" xfId="0" applyNumberFormat="1" applyFont="1" applyBorder="1" applyAlignment="1">
      <alignment horizontal="right" vertical="center"/>
    </xf>
    <xf numFmtId="3" fontId="34" fillId="0" borderId="0" xfId="0" applyNumberFormat="1" applyFont="1" applyFill="1" applyBorder="1" applyAlignment="1">
      <alignment horizontal="right" vertical="center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40" fillId="0" borderId="20" xfId="0" applyFont="1" applyBorder="1" applyAlignment="1">
      <alignment vertical="center"/>
    </xf>
    <xf numFmtId="0" fontId="40" fillId="0" borderId="20" xfId="0" applyFont="1" applyBorder="1" applyAlignment="1">
      <alignment horizontal="right" vertical="center"/>
    </xf>
    <xf numFmtId="0" fontId="66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66" fillId="0" borderId="32" xfId="0" applyFont="1" applyBorder="1" applyAlignment="1">
      <alignment horizontal="left" vertical="center" wrapText="1"/>
    </xf>
    <xf numFmtId="0" fontId="40" fillId="0" borderId="32" xfId="0" applyFont="1" applyBorder="1" applyAlignment="1">
      <alignment vertical="center"/>
    </xf>
    <xf numFmtId="0" fontId="40" fillId="0" borderId="32" xfId="0" applyFont="1" applyBorder="1" applyAlignment="1">
      <alignment horizontal="right" vertical="center"/>
    </xf>
    <xf numFmtId="3" fontId="40" fillId="0" borderId="32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0" fontId="66" fillId="0" borderId="19" xfId="0" applyFont="1" applyBorder="1" applyAlignment="1">
      <alignment horizontal="left" vertical="center" wrapText="1"/>
    </xf>
    <xf numFmtId="0" fontId="40" fillId="0" borderId="19" xfId="0" applyFont="1" applyBorder="1" applyAlignment="1">
      <alignment vertical="center"/>
    </xf>
    <xf numFmtId="0" fontId="40" fillId="0" borderId="19" xfId="0" applyFont="1" applyBorder="1" applyAlignment="1">
      <alignment horizontal="right" vertical="center"/>
    </xf>
    <xf numFmtId="0" fontId="40" fillId="4" borderId="33" xfId="0" applyFont="1" applyFill="1" applyBorder="1" applyAlignment="1">
      <alignment horizontal="center"/>
    </xf>
    <xf numFmtId="0" fontId="40" fillId="4" borderId="33" xfId="0" applyFont="1" applyFill="1" applyBorder="1" applyAlignment="1">
      <alignment vertical="center"/>
    </xf>
    <xf numFmtId="3" fontId="40" fillId="4" borderId="33" xfId="0" applyNumberFormat="1" applyFont="1" applyFill="1" applyBorder="1" applyAlignment="1">
      <alignment vertical="center"/>
    </xf>
    <xf numFmtId="165" fontId="60" fillId="4" borderId="21" xfId="0" applyNumberFormat="1" applyFont="1" applyFill="1" applyBorder="1" applyAlignment="1">
      <alignment vertical="center" wrapText="1"/>
    </xf>
    <xf numFmtId="3" fontId="60" fillId="4" borderId="21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center"/>
    </xf>
    <xf numFmtId="165" fontId="60" fillId="0" borderId="0" xfId="0" applyNumberFormat="1" applyFont="1" applyFill="1" applyBorder="1" applyAlignment="1">
      <alignment vertical="center" wrapText="1"/>
    </xf>
    <xf numFmtId="0" fontId="66" fillId="0" borderId="19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/>
    </xf>
    <xf numFmtId="0" fontId="66" fillId="0" borderId="32" xfId="0" applyFont="1" applyBorder="1" applyAlignment="1">
      <alignment vertical="center" wrapText="1"/>
    </xf>
    <xf numFmtId="0" fontId="59" fillId="0" borderId="19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66" fillId="0" borderId="0" xfId="0" applyFont="1" applyBorder="1"/>
    <xf numFmtId="0" fontId="66" fillId="0" borderId="32" xfId="0" applyFont="1" applyBorder="1"/>
    <xf numFmtId="3" fontId="59" fillId="0" borderId="32" xfId="0" applyNumberFormat="1" applyFont="1" applyBorder="1" applyAlignment="1">
      <alignment horizontal="right" vertical="center"/>
    </xf>
    <xf numFmtId="3" fontId="60" fillId="4" borderId="31" xfId="0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3" fontId="40" fillId="0" borderId="34" xfId="0" applyNumberFormat="1" applyFont="1" applyBorder="1" applyAlignment="1">
      <alignment horizontal="right" vertical="center"/>
    </xf>
    <xf numFmtId="3" fontId="0" fillId="0" borderId="34" xfId="0" applyNumberFormat="1" applyFont="1" applyBorder="1" applyAlignment="1">
      <alignment horizontal="right" vertical="center"/>
    </xf>
    <xf numFmtId="0" fontId="61" fillId="0" borderId="0" xfId="0" applyFont="1" applyFill="1" applyBorder="1" applyAlignment="1">
      <alignment vertical="center"/>
    </xf>
    <xf numFmtId="3" fontId="59" fillId="0" borderId="19" xfId="2" applyNumberFormat="1" applyFont="1" applyBorder="1" applyAlignment="1">
      <alignment vertical="center"/>
    </xf>
    <xf numFmtId="3" fontId="59" fillId="0" borderId="0" xfId="2" applyNumberFormat="1" applyFont="1" applyBorder="1" applyAlignment="1">
      <alignment vertical="center"/>
    </xf>
    <xf numFmtId="3" fontId="59" fillId="0" borderId="0" xfId="2" applyNumberFormat="1" applyFont="1" applyBorder="1" applyAlignment="1">
      <alignment vertical="center" wrapText="1"/>
    </xf>
    <xf numFmtId="3" fontId="59" fillId="0" borderId="20" xfId="2" applyNumberFormat="1" applyFont="1" applyBorder="1" applyAlignment="1">
      <alignment vertical="center"/>
    </xf>
    <xf numFmtId="0" fontId="59" fillId="0" borderId="15" xfId="0" applyFont="1" applyBorder="1" applyAlignment="1">
      <alignment vertical="center" wrapText="1"/>
    </xf>
    <xf numFmtId="0" fontId="59" fillId="0" borderId="16" xfId="0" applyFont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59" fillId="0" borderId="20" xfId="0" applyFont="1" applyBorder="1" applyAlignment="1">
      <alignment horizontal="center" vertical="center"/>
    </xf>
    <xf numFmtId="3" fontId="59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4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3" fontId="10" fillId="0" borderId="0" xfId="4" applyNumberFormat="1" applyFont="1" applyAlignment="1" applyProtection="1">
      <alignment wrapText="1"/>
    </xf>
    <xf numFmtId="3" fontId="10" fillId="0" borderId="0" xfId="2" applyNumberFormat="1" applyFont="1" applyProtection="1"/>
    <xf numFmtId="4" fontId="10" fillId="0" borderId="0" xfId="2" applyNumberFormat="1" applyFont="1" applyProtection="1"/>
    <xf numFmtId="3" fontId="48" fillId="2" borderId="9" xfId="0" applyNumberFormat="1" applyFont="1" applyFill="1" applyBorder="1" applyAlignment="1" applyProtection="1">
      <alignment horizontal="center" vertical="center" wrapText="1"/>
    </xf>
    <xf numFmtId="3" fontId="73" fillId="2" borderId="9" xfId="0" applyNumberFormat="1" applyFont="1" applyFill="1" applyBorder="1" applyAlignment="1" applyProtection="1">
      <alignment horizontal="center" vertical="center" wrapText="1"/>
    </xf>
    <xf numFmtId="49" fontId="48" fillId="2" borderId="9" xfId="0" applyNumberFormat="1" applyFont="1" applyFill="1" applyBorder="1" applyAlignment="1" applyProtection="1">
      <alignment horizontal="center" vertical="center"/>
    </xf>
    <xf numFmtId="3" fontId="48" fillId="2" borderId="9" xfId="0" applyNumberFormat="1" applyFont="1" applyFill="1" applyBorder="1" applyAlignment="1" applyProtection="1">
      <alignment horizontal="center" vertical="center"/>
    </xf>
    <xf numFmtId="166" fontId="51" fillId="0" borderId="9" xfId="0" applyNumberFormat="1" applyFont="1" applyFill="1" applyBorder="1" applyAlignment="1" applyProtection="1">
      <alignment horizontal="center" vertical="center"/>
    </xf>
    <xf numFmtId="3" fontId="46" fillId="0" borderId="9" xfId="0" applyNumberFormat="1" applyFont="1" applyFill="1" applyBorder="1" applyAlignment="1" applyProtection="1">
      <alignment vertical="center" shrinkToFit="1"/>
      <protection locked="0"/>
    </xf>
    <xf numFmtId="3" fontId="52" fillId="0" borderId="9" xfId="0" applyNumberFormat="1" applyFont="1" applyFill="1" applyBorder="1" applyAlignment="1" applyProtection="1">
      <alignment vertical="center" shrinkToFit="1"/>
    </xf>
    <xf numFmtId="166" fontId="51" fillId="7" borderId="9" xfId="0" applyNumberFormat="1" applyFont="1" applyFill="1" applyBorder="1" applyAlignment="1" applyProtection="1">
      <alignment horizontal="center" vertical="center"/>
    </xf>
    <xf numFmtId="3" fontId="52" fillId="7" borderId="9" xfId="0" applyNumberFormat="1" applyFont="1" applyFill="1" applyBorder="1" applyAlignment="1" applyProtection="1">
      <alignment vertical="center" shrinkToFit="1"/>
    </xf>
    <xf numFmtId="3" fontId="46" fillId="6" borderId="9" xfId="0" applyNumberFormat="1" applyFont="1" applyFill="1" applyBorder="1" applyAlignment="1" applyProtection="1">
      <alignment vertical="center" shrinkToFit="1"/>
    </xf>
    <xf numFmtId="0" fontId="10" fillId="0" borderId="0" xfId="2" applyFont="1" applyProtection="1"/>
    <xf numFmtId="0" fontId="9" fillId="0" borderId="4" xfId="0" applyFont="1" applyBorder="1" applyAlignment="1">
      <alignment horizontal="center"/>
    </xf>
    <xf numFmtId="0" fontId="5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59" fillId="0" borderId="2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38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3" fontId="38" fillId="0" borderId="0" xfId="0" applyNumberFormat="1" applyFont="1" applyFill="1" applyAlignment="1">
      <alignment horizontal="left" vertical="center" wrapText="1"/>
    </xf>
    <xf numFmtId="49" fontId="38" fillId="0" borderId="0" xfId="0" applyNumberFormat="1" applyFont="1" applyFill="1" applyAlignment="1">
      <alignment horizontal="left" vertical="center"/>
    </xf>
    <xf numFmtId="49" fontId="38" fillId="0" borderId="0" xfId="0" applyNumberFormat="1" applyFont="1" applyFill="1" applyAlignment="1">
      <alignment horizontal="left" vertical="center" wrapText="1"/>
    </xf>
    <xf numFmtId="49" fontId="38" fillId="0" borderId="0" xfId="0" applyNumberFormat="1" applyFont="1" applyFill="1" applyAlignment="1">
      <alignment vertical="center"/>
    </xf>
    <xf numFmtId="4" fontId="38" fillId="0" borderId="0" xfId="0" applyNumberFormat="1" applyFont="1" applyFill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3" fontId="38" fillId="0" borderId="0" xfId="0" applyNumberFormat="1" applyFont="1" applyFill="1" applyAlignment="1">
      <alignment horizontal="center" vertical="center" wrapText="1"/>
    </xf>
    <xf numFmtId="49" fontId="62" fillId="0" borderId="0" xfId="0" applyNumberFormat="1" applyFont="1" applyFill="1" applyAlignment="1">
      <alignment horizontal="left" vertical="center" wrapText="1"/>
    </xf>
    <xf numFmtId="49" fontId="63" fillId="0" borderId="0" xfId="0" applyNumberFormat="1" applyFont="1" applyFill="1" applyAlignment="1">
      <alignment horizontal="left" vertical="center" wrapText="1"/>
    </xf>
    <xf numFmtId="49" fontId="38" fillId="0" borderId="0" xfId="0" applyNumberFormat="1" applyFont="1" applyFill="1" applyBorder="1" applyAlignment="1">
      <alignment horizontal="left" vertical="center" wrapText="1"/>
    </xf>
    <xf numFmtId="49" fontId="62" fillId="0" borderId="0" xfId="0" applyNumberFormat="1" applyFont="1" applyFill="1" applyAlignment="1">
      <alignment horizontal="left" vertical="center"/>
    </xf>
    <xf numFmtId="3" fontId="63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Alignment="1">
      <alignment vertical="center"/>
    </xf>
    <xf numFmtId="49" fontId="62" fillId="0" borderId="0" xfId="0" applyNumberFormat="1" applyFont="1" applyAlignment="1">
      <alignment vertical="center"/>
    </xf>
    <xf numFmtId="3" fontId="38" fillId="0" borderId="0" xfId="0" applyNumberFormat="1" applyFont="1"/>
    <xf numFmtId="0" fontId="38" fillId="0" borderId="0" xfId="0" applyFont="1"/>
    <xf numFmtId="0" fontId="38" fillId="0" borderId="0" xfId="0" applyFont="1" applyFill="1"/>
    <xf numFmtId="0" fontId="5" fillId="0" borderId="0" xfId="0" applyFont="1" applyAlignment="1">
      <alignment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3" borderId="9" xfId="1" applyFont="1" applyFill="1" applyBorder="1" applyAlignment="1" applyProtection="1">
      <alignment horizontal="center" vertical="center" wrapText="1"/>
      <protection hidden="1"/>
    </xf>
    <xf numFmtId="3" fontId="10" fillId="0" borderId="0" xfId="2" applyNumberFormat="1" applyFont="1" applyAlignment="1" applyProtection="1"/>
    <xf numFmtId="3" fontId="36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76" fillId="0" borderId="0" xfId="0" applyFont="1"/>
    <xf numFmtId="0" fontId="16" fillId="3" borderId="9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6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3" fontId="77" fillId="0" borderId="9" xfId="0" applyNumberFormat="1" applyFont="1" applyFill="1" applyBorder="1" applyAlignment="1" applyProtection="1">
      <alignment vertical="center" shrinkToFit="1"/>
      <protection locked="0"/>
    </xf>
    <xf numFmtId="0" fontId="74" fillId="0" borderId="0" xfId="0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41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21" fillId="0" borderId="0" xfId="1" applyNumberFormat="1" applyFont="1" applyFill="1" applyBorder="1" applyAlignment="1">
      <alignment vertical="center"/>
    </xf>
    <xf numFmtId="3" fontId="21" fillId="0" borderId="0" xfId="1" applyNumberFormat="1" applyFont="1" applyBorder="1" applyAlignment="1">
      <alignment vertical="center"/>
    </xf>
    <xf numFmtId="3" fontId="21" fillId="0" borderId="42" xfId="1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49" fontId="17" fillId="0" borderId="0" xfId="0" applyNumberFormat="1" applyFont="1" applyFill="1" applyAlignment="1">
      <alignment horizontal="left" vertical="center"/>
    </xf>
    <xf numFmtId="49" fontId="43" fillId="0" borderId="0" xfId="0" applyNumberFormat="1" applyFont="1" applyFill="1" applyAlignment="1">
      <alignment horizontal="left" vertical="center"/>
    </xf>
    <xf numFmtId="0" fontId="75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3" fontId="22" fillId="0" borderId="43" xfId="0" applyNumberFormat="1" applyFont="1" applyBorder="1" applyAlignment="1">
      <alignment vertical="center"/>
    </xf>
    <xf numFmtId="3" fontId="22" fillId="0" borderId="43" xfId="0" applyNumberFormat="1" applyFont="1" applyFill="1" applyBorder="1" applyAlignment="1">
      <alignment vertical="center"/>
    </xf>
    <xf numFmtId="3" fontId="42" fillId="0" borderId="44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6" fillId="0" borderId="31" xfId="0" applyFont="1" applyBorder="1" applyAlignment="1">
      <alignment vertical="center" wrapText="1"/>
    </xf>
    <xf numFmtId="0" fontId="66" fillId="0" borderId="33" xfId="0" applyFont="1" applyBorder="1" applyAlignment="1">
      <alignment vertical="center" wrapText="1"/>
    </xf>
    <xf numFmtId="0" fontId="21" fillId="0" borderId="45" xfId="0" applyFont="1" applyBorder="1"/>
    <xf numFmtId="0" fontId="0" fillId="0" borderId="0" xfId="0" applyFont="1" applyBorder="1" applyAlignment="1">
      <alignment horizontal="center" vertical="top"/>
    </xf>
    <xf numFmtId="49" fontId="38" fillId="0" borderId="0" xfId="0" applyNumberFormat="1" applyFont="1" applyFill="1" applyAlignment="1">
      <alignment horizontal="left" vertical="center"/>
    </xf>
    <xf numFmtId="0" fontId="78" fillId="0" borderId="0" xfId="0" applyFont="1"/>
    <xf numFmtId="9" fontId="18" fillId="0" borderId="0" xfId="0" applyNumberFormat="1" applyFont="1"/>
    <xf numFmtId="3" fontId="18" fillId="0" borderId="0" xfId="0" applyNumberFormat="1" applyFont="1"/>
    <xf numFmtId="0" fontId="0" fillId="0" borderId="20" xfId="0" applyFont="1" applyBorder="1" applyAlignment="1">
      <alignment horizontal="center" vertical="top"/>
    </xf>
    <xf numFmtId="0" fontId="16" fillId="3" borderId="9" xfId="1" applyFont="1" applyFill="1" applyBorder="1" applyAlignment="1" applyProtection="1">
      <alignment horizontal="center" vertical="center" wrapText="1"/>
      <protection hidden="1"/>
    </xf>
    <xf numFmtId="0" fontId="26" fillId="0" borderId="13" xfId="1" applyFont="1" applyFill="1" applyBorder="1" applyAlignment="1" applyProtection="1">
      <alignment horizontal="left" vertical="center"/>
      <protection hidden="1"/>
    </xf>
    <xf numFmtId="0" fontId="16" fillId="2" borderId="9" xfId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/>
    <xf numFmtId="0" fontId="36" fillId="0" borderId="0" xfId="0" applyFont="1"/>
    <xf numFmtId="0" fontId="81" fillId="0" borderId="0" xfId="0" applyFont="1"/>
    <xf numFmtId="4" fontId="18" fillId="0" borderId="0" xfId="0" applyNumberFormat="1" applyFont="1"/>
    <xf numFmtId="4" fontId="26" fillId="0" borderId="1" xfId="1" applyNumberFormat="1" applyFont="1" applyFill="1" applyBorder="1" applyAlignment="1" applyProtection="1">
      <alignment horizontal="right" vertical="center" shrinkToFit="1"/>
      <protection hidden="1"/>
    </xf>
    <xf numFmtId="4" fontId="15" fillId="0" borderId="2" xfId="1" applyNumberFormat="1" applyFont="1" applyFill="1" applyBorder="1" applyAlignment="1" applyProtection="1">
      <alignment horizontal="right" vertical="center" shrinkToFit="1"/>
      <protection locked="0"/>
    </xf>
    <xf numFmtId="4" fontId="26" fillId="0" borderId="2" xfId="1" applyNumberFormat="1" applyFont="1" applyFill="1" applyBorder="1" applyAlignment="1" applyProtection="1">
      <alignment horizontal="right" vertical="center" shrinkToFit="1"/>
      <protection hidden="1"/>
    </xf>
    <xf numFmtId="4" fontId="14" fillId="0" borderId="2" xfId="1" applyNumberFormat="1" applyFont="1" applyFill="1" applyBorder="1" applyAlignment="1" applyProtection="1">
      <alignment horizontal="right" vertical="center" shrinkToFit="1"/>
      <protection locked="0"/>
    </xf>
    <xf numFmtId="4" fontId="14" fillId="0" borderId="2" xfId="1" applyNumberFormat="1" applyFont="1" applyFill="1" applyBorder="1" applyAlignment="1" applyProtection="1">
      <alignment horizontal="right" vertical="center" shrinkToFit="1"/>
      <protection hidden="1"/>
    </xf>
    <xf numFmtId="4" fontId="39" fillId="0" borderId="2" xfId="1" applyNumberFormat="1" applyFont="1" applyFill="1" applyBorder="1" applyAlignment="1" applyProtection="1">
      <alignment horizontal="right" vertical="center" shrinkToFit="1"/>
      <protection locked="0"/>
    </xf>
    <xf numFmtId="4" fontId="26" fillId="0" borderId="2" xfId="1" applyNumberFormat="1" applyFont="1" applyFill="1" applyBorder="1" applyAlignment="1" applyProtection="1">
      <alignment horizontal="right" vertical="center" shrinkToFit="1"/>
      <protection locked="0"/>
    </xf>
    <xf numFmtId="4" fontId="15" fillId="0" borderId="2" xfId="1" applyNumberFormat="1" applyFont="1" applyFill="1" applyBorder="1" applyAlignment="1" applyProtection="1">
      <alignment horizontal="right" vertical="center" shrinkToFit="1"/>
      <protection hidden="1"/>
    </xf>
    <xf numFmtId="4" fontId="15" fillId="0" borderId="3" xfId="1" applyNumberFormat="1" applyFont="1" applyFill="1" applyBorder="1" applyAlignment="1" applyProtection="1">
      <alignment horizontal="right" vertical="center" shrinkToFit="1"/>
      <protection hidden="1"/>
    </xf>
    <xf numFmtId="4" fontId="26" fillId="0" borderId="2" xfId="1" applyNumberFormat="1" applyFont="1" applyFill="1" applyBorder="1" applyAlignment="1" applyProtection="1">
      <alignment vertical="center"/>
      <protection locked="0"/>
    </xf>
    <xf numFmtId="4" fontId="26" fillId="0" borderId="2" xfId="1" applyNumberFormat="1" applyFont="1" applyFill="1" applyBorder="1" applyAlignment="1" applyProtection="1">
      <alignment vertical="center"/>
      <protection hidden="1"/>
    </xf>
    <xf numFmtId="4" fontId="15" fillId="0" borderId="2" xfId="1" applyNumberFormat="1" applyFont="1" applyFill="1" applyBorder="1" applyAlignment="1" applyProtection="1">
      <alignment vertical="center"/>
      <protection locked="0"/>
    </xf>
    <xf numFmtId="4" fontId="26" fillId="0" borderId="3" xfId="1" applyNumberFormat="1" applyFont="1" applyFill="1" applyBorder="1" applyAlignment="1" applyProtection="1">
      <alignment vertical="center"/>
      <protection hidden="1"/>
    </xf>
    <xf numFmtId="0" fontId="82" fillId="0" borderId="0" xfId="0" applyFont="1"/>
    <xf numFmtId="4" fontId="28" fillId="0" borderId="2" xfId="1" applyNumberFormat="1" applyFont="1" applyFill="1" applyBorder="1" applyAlignment="1" applyProtection="1">
      <alignment horizontal="right" vertical="center" shrinkToFit="1"/>
      <protection hidden="1"/>
    </xf>
    <xf numFmtId="4" fontId="28" fillId="0" borderId="2" xfId="1" applyNumberFormat="1" applyFont="1" applyFill="1" applyBorder="1" applyAlignment="1" applyProtection="1">
      <alignment horizontal="right" vertical="center" shrinkToFit="1"/>
      <protection locked="0"/>
    </xf>
    <xf numFmtId="4" fontId="83" fillId="0" borderId="2" xfId="1" applyNumberFormat="1" applyFont="1" applyFill="1" applyBorder="1" applyAlignment="1" applyProtection="1">
      <alignment horizontal="right" vertical="center" shrinkToFit="1"/>
      <protection locked="0"/>
    </xf>
    <xf numFmtId="4" fontId="15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6" fillId="0" borderId="5" xfId="1" applyNumberFormat="1" applyFont="1" applyFill="1" applyBorder="1" applyAlignment="1" applyProtection="1">
      <alignment horizontal="right" vertical="center" shrinkToFit="1"/>
      <protection hidden="1"/>
    </xf>
    <xf numFmtId="4" fontId="36" fillId="0" borderId="2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0" applyNumberFormat="1" applyFont="1"/>
    <xf numFmtId="4" fontId="14" fillId="0" borderId="2" xfId="0" applyNumberFormat="1" applyFont="1" applyFill="1" applyBorder="1" applyAlignment="1" applyProtection="1">
      <alignment vertical="center"/>
      <protection locked="0"/>
    </xf>
    <xf numFmtId="4" fontId="14" fillId="0" borderId="3" xfId="0" applyNumberFormat="1" applyFont="1" applyFill="1" applyBorder="1" applyAlignment="1" applyProtection="1">
      <alignment vertical="center"/>
      <protection hidden="1"/>
    </xf>
    <xf numFmtId="4" fontId="14" fillId="0" borderId="2" xfId="0" applyNumberFormat="1" applyFont="1" applyFill="1" applyBorder="1" applyAlignment="1" applyProtection="1">
      <alignment vertical="center"/>
      <protection hidden="1"/>
    </xf>
    <xf numFmtId="4" fontId="39" fillId="0" borderId="3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/>
    <xf numFmtId="4" fontId="0" fillId="0" borderId="0" xfId="0" applyNumberFormat="1" applyFill="1"/>
    <xf numFmtId="167" fontId="81" fillId="0" borderId="0" xfId="0" applyNumberFormat="1" applyFont="1"/>
    <xf numFmtId="3" fontId="0" fillId="0" borderId="0" xfId="0" applyNumberFormat="1" applyFill="1"/>
    <xf numFmtId="3" fontId="39" fillId="0" borderId="2" xfId="0" applyNumberFormat="1" applyFont="1" applyFill="1" applyBorder="1" applyAlignment="1" applyProtection="1">
      <alignment vertical="center"/>
      <protection hidden="1"/>
    </xf>
    <xf numFmtId="3" fontId="22" fillId="0" borderId="37" xfId="0" applyNumberFormat="1" applyFont="1" applyBorder="1"/>
    <xf numFmtId="3" fontId="22" fillId="0" borderId="46" xfId="0" applyNumberFormat="1" applyFont="1" applyBorder="1"/>
    <xf numFmtId="3" fontId="0" fillId="0" borderId="37" xfId="0" applyNumberFormat="1" applyBorder="1"/>
    <xf numFmtId="3" fontId="22" fillId="0" borderId="46" xfId="0" applyNumberFormat="1" applyFont="1" applyBorder="1" applyAlignment="1">
      <alignment horizontal="right" vertical="center"/>
    </xf>
    <xf numFmtId="4" fontId="22" fillId="0" borderId="4" xfId="0" applyNumberFormat="1" applyFont="1" applyBorder="1" applyAlignment="1">
      <alignment horizontal="right" vertical="center" wrapText="1"/>
    </xf>
    <xf numFmtId="4" fontId="16" fillId="2" borderId="9" xfId="1" applyNumberFormat="1" applyFont="1" applyFill="1" applyBorder="1" applyAlignment="1" applyProtection="1">
      <alignment horizontal="center" vertical="center" wrapText="1"/>
      <protection hidden="1"/>
    </xf>
    <xf numFmtId="4" fontId="22" fillId="0" borderId="37" xfId="0" applyNumberFormat="1" applyFont="1" applyBorder="1"/>
    <xf numFmtId="4" fontId="22" fillId="0" borderId="46" xfId="0" applyNumberFormat="1" applyFont="1" applyBorder="1"/>
    <xf numFmtId="4" fontId="39" fillId="0" borderId="2" xfId="0" applyNumberFormat="1" applyFont="1" applyFill="1" applyBorder="1" applyAlignment="1" applyProtection="1">
      <alignment vertical="center"/>
      <protection hidden="1"/>
    </xf>
    <xf numFmtId="4" fontId="0" fillId="0" borderId="37" xfId="0" applyNumberFormat="1" applyBorder="1"/>
    <xf numFmtId="4" fontId="22" fillId="0" borderId="46" xfId="0" applyNumberFormat="1" applyFont="1" applyBorder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0" fillId="8" borderId="0" xfId="2" applyFont="1" applyFill="1" applyProtection="1"/>
    <xf numFmtId="3" fontId="10" fillId="8" borderId="0" xfId="2" applyNumberFormat="1" applyFont="1" applyFill="1" applyProtection="1"/>
    <xf numFmtId="167" fontId="81" fillId="0" borderId="0" xfId="0" applyNumberFormat="1" applyFont="1" applyAlignment="1">
      <alignment horizontal="left"/>
    </xf>
    <xf numFmtId="0" fontId="81" fillId="0" borderId="0" xfId="0" applyFont="1" applyAlignment="1">
      <alignment horizontal="left"/>
    </xf>
    <xf numFmtId="4" fontId="46" fillId="0" borderId="9" xfId="0" applyNumberFormat="1" applyFont="1" applyFill="1" applyBorder="1" applyAlignment="1" applyProtection="1">
      <alignment vertical="center" shrinkToFit="1"/>
      <protection locked="0"/>
    </xf>
    <xf numFmtId="4" fontId="52" fillId="0" borderId="9" xfId="0" applyNumberFormat="1" applyFont="1" applyFill="1" applyBorder="1" applyAlignment="1" applyProtection="1">
      <alignment vertical="center" shrinkToFit="1"/>
    </xf>
    <xf numFmtId="4" fontId="52" fillId="7" borderId="9" xfId="0" applyNumberFormat="1" applyFont="1" applyFill="1" applyBorder="1" applyAlignment="1" applyProtection="1">
      <alignment vertical="center" shrinkToFit="1"/>
    </xf>
    <xf numFmtId="4" fontId="46" fillId="6" borderId="9" xfId="0" applyNumberFormat="1" applyFont="1" applyFill="1" applyBorder="1" applyAlignment="1" applyProtection="1">
      <alignment vertical="center" shrinkToFit="1"/>
    </xf>
    <xf numFmtId="4" fontId="77" fillId="0" borderId="9" xfId="0" applyNumberFormat="1" applyFont="1" applyFill="1" applyBorder="1" applyAlignment="1" applyProtection="1">
      <alignment vertical="center" shrinkToFit="1"/>
      <protection locked="0"/>
    </xf>
    <xf numFmtId="4" fontId="46" fillId="0" borderId="9" xfId="0" applyNumberFormat="1" applyFont="1" applyFill="1" applyBorder="1" applyAlignment="1" applyProtection="1">
      <alignment vertical="center" shrinkToFit="1"/>
    </xf>
    <xf numFmtId="0" fontId="11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0" fillId="4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center"/>
    </xf>
    <xf numFmtId="4" fontId="46" fillId="0" borderId="0" xfId="2" applyNumberFormat="1" applyFont="1" applyProtection="1"/>
    <xf numFmtId="4" fontId="0" fillId="0" borderId="19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4" fontId="40" fillId="4" borderId="21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horizontal="left" vertical="center" wrapText="1"/>
    </xf>
    <xf numFmtId="4" fontId="0" fillId="0" borderId="19" xfId="0" applyNumberFormat="1" applyFont="1" applyFill="1" applyBorder="1" applyAlignment="1">
      <alignment horizontal="right" vertical="center"/>
    </xf>
    <xf numFmtId="4" fontId="59" fillId="0" borderId="2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4" fontId="22" fillId="0" borderId="0" xfId="0" applyNumberFormat="1" applyFont="1" applyFill="1" applyAlignment="1">
      <alignment horizontal="left" vertical="center"/>
    </xf>
    <xf numFmtId="4" fontId="38" fillId="0" borderId="0" xfId="0" applyNumberFormat="1" applyFont="1" applyBorder="1" applyAlignment="1">
      <alignment horizontal="right" vertical="center"/>
    </xf>
    <xf numFmtId="3" fontId="84" fillId="9" borderId="27" xfId="5" applyNumberFormat="1" applyBorder="1" applyAlignment="1">
      <alignment horizontal="right" vertical="center"/>
    </xf>
    <xf numFmtId="3" fontId="84" fillId="9" borderId="28" xfId="5" applyNumberFormat="1" applyBorder="1" applyAlignment="1">
      <alignment horizontal="right" vertical="center"/>
    </xf>
    <xf numFmtId="3" fontId="84" fillId="9" borderId="29" xfId="5" applyNumberFormat="1" applyBorder="1" applyAlignment="1">
      <alignment horizontal="right" vertical="center"/>
    </xf>
    <xf numFmtId="0" fontId="84" fillId="9" borderId="20" xfId="5" applyBorder="1" applyAlignment="1">
      <alignment horizontal="center" vertical="center" wrapText="1"/>
    </xf>
    <xf numFmtId="4" fontId="59" fillId="0" borderId="0" xfId="0" applyNumberFormat="1" applyFont="1" applyBorder="1" applyAlignment="1">
      <alignment horizontal="right" vertical="center"/>
    </xf>
    <xf numFmtId="4" fontId="59" fillId="0" borderId="0" xfId="0" applyNumberFormat="1" applyFont="1" applyFill="1" applyBorder="1" applyAlignment="1">
      <alignment horizontal="right" vertical="center"/>
    </xf>
    <xf numFmtId="4" fontId="60" fillId="4" borderId="26" xfId="0" applyNumberFormat="1" applyFont="1" applyFill="1" applyBorder="1" applyAlignment="1">
      <alignment horizontal="right" vertical="center"/>
    </xf>
    <xf numFmtId="4" fontId="60" fillId="4" borderId="27" xfId="0" applyNumberFormat="1" applyFont="1" applyFill="1" applyBorder="1" applyAlignment="1">
      <alignment horizontal="right" vertical="center"/>
    </xf>
    <xf numFmtId="4" fontId="59" fillId="0" borderId="28" xfId="0" applyNumberFormat="1" applyFont="1" applyBorder="1" applyAlignment="1">
      <alignment horizontal="right" vertical="center"/>
    </xf>
    <xf numFmtId="4" fontId="60" fillId="4" borderId="29" xfId="0" applyNumberFormat="1" applyFont="1" applyFill="1" applyBorder="1" applyAlignment="1">
      <alignment horizontal="right" vertical="center"/>
    </xf>
    <xf numFmtId="4" fontId="59" fillId="0" borderId="0" xfId="0" applyNumberFormat="1" applyFont="1" applyFill="1" applyBorder="1" applyAlignment="1">
      <alignment vertical="center"/>
    </xf>
    <xf numFmtId="4" fontId="60" fillId="4" borderId="27" xfId="0" applyNumberFormat="1" applyFont="1" applyFill="1" applyBorder="1" applyAlignment="1">
      <alignment vertical="center"/>
    </xf>
    <xf numFmtId="4" fontId="40" fillId="4" borderId="29" xfId="0" applyNumberFormat="1" applyFont="1" applyFill="1" applyBorder="1" applyAlignment="1">
      <alignment horizontal="right" vertical="center"/>
    </xf>
    <xf numFmtId="4" fontId="59" fillId="0" borderId="19" xfId="0" applyNumberFormat="1" applyFont="1" applyFill="1" applyBorder="1" applyAlignment="1">
      <alignment horizontal="right" vertical="center"/>
    </xf>
    <xf numFmtId="4" fontId="59" fillId="0" borderId="20" xfId="0" applyNumberFormat="1" applyFont="1" applyFill="1" applyBorder="1" applyAlignment="1">
      <alignment vertical="center"/>
    </xf>
    <xf numFmtId="4" fontId="0" fillId="0" borderId="4" xfId="0" applyNumberFormat="1" applyFont="1" applyBorder="1" applyAlignment="1">
      <alignment horizontal="right"/>
    </xf>
    <xf numFmtId="4" fontId="40" fillId="4" borderId="31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horizontal="right" vertical="center"/>
    </xf>
    <xf numFmtId="4" fontId="40" fillId="0" borderId="0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4" fontId="40" fillId="4" borderId="33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horizontal="right" vertical="center"/>
    </xf>
    <xf numFmtId="4" fontId="37" fillId="0" borderId="0" xfId="0" applyNumberFormat="1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horizontal="left" vertical="center"/>
    </xf>
    <xf numFmtId="4" fontId="37" fillId="0" borderId="0" xfId="0" applyNumberFormat="1" applyFont="1" applyAlignment="1">
      <alignment horizontal="left" vertical="center" wrapText="1"/>
    </xf>
    <xf numFmtId="4" fontId="37" fillId="0" borderId="0" xfId="0" applyNumberFormat="1" applyFont="1" applyFill="1" applyAlignment="1">
      <alignment horizontal="left" vertical="center" wrapText="1"/>
    </xf>
    <xf numFmtId="4" fontId="59" fillId="0" borderId="20" xfId="0" applyNumberFormat="1" applyFont="1" applyBorder="1" applyAlignment="1">
      <alignment horizontal="right" vertical="center"/>
    </xf>
    <xf numFmtId="4" fontId="60" fillId="4" borderId="21" xfId="0" applyNumberFormat="1" applyFont="1" applyFill="1" applyBorder="1" applyAlignment="1">
      <alignment vertical="center"/>
    </xf>
    <xf numFmtId="4" fontId="21" fillId="0" borderId="0" xfId="1" applyNumberFormat="1" applyFont="1" applyFill="1" applyBorder="1" applyAlignment="1">
      <alignment vertical="center"/>
    </xf>
    <xf numFmtId="4" fontId="0" fillId="0" borderId="34" xfId="0" applyNumberFormat="1" applyFont="1" applyBorder="1" applyAlignment="1">
      <alignment horizontal="right" vertical="center"/>
    </xf>
    <xf numFmtId="4" fontId="22" fillId="0" borderId="46" xfId="0" applyNumberFormat="1" applyFont="1" applyBorder="1" applyAlignment="1">
      <alignment vertical="center"/>
    </xf>
    <xf numFmtId="0" fontId="37" fillId="0" borderId="0" xfId="0" applyFont="1"/>
    <xf numFmtId="0" fontId="59" fillId="0" borderId="0" xfId="0" applyFont="1"/>
    <xf numFmtId="49" fontId="0" fillId="0" borderId="0" xfId="0" applyNumberFormat="1" applyAlignment="1"/>
    <xf numFmtId="0" fontId="85" fillId="0" borderId="0" xfId="0" applyFont="1" applyFill="1" applyBorder="1"/>
    <xf numFmtId="4" fontId="18" fillId="0" borderId="0" xfId="0" applyNumberFormat="1" applyFont="1" applyFill="1"/>
    <xf numFmtId="4" fontId="42" fillId="0" borderId="0" xfId="0" applyNumberFormat="1" applyFont="1" applyFill="1"/>
    <xf numFmtId="0" fontId="85" fillId="0" borderId="0" xfId="0" applyFont="1" applyFill="1" applyBorder="1" applyAlignment="1">
      <alignment horizontal="right"/>
    </xf>
    <xf numFmtId="0" fontId="16" fillId="2" borderId="9" xfId="1" applyFont="1" applyFill="1" applyBorder="1" applyAlignment="1" applyProtection="1">
      <alignment horizontal="center" vertical="center" wrapText="1"/>
      <protection hidden="1"/>
    </xf>
    <xf numFmtId="4" fontId="86" fillId="0" borderId="2" xfId="1" applyNumberFormat="1" applyFont="1" applyFill="1" applyBorder="1" applyAlignment="1" applyProtection="1">
      <alignment horizontal="right" vertical="center" shrinkToFit="1"/>
      <protection locked="0"/>
    </xf>
    <xf numFmtId="4" fontId="87" fillId="0" borderId="2" xfId="1" applyNumberFormat="1" applyFont="1" applyFill="1" applyBorder="1" applyAlignment="1" applyProtection="1">
      <alignment horizontal="right" vertical="center" shrinkToFit="1"/>
      <protection locked="0"/>
    </xf>
    <xf numFmtId="4" fontId="31" fillId="0" borderId="2" xfId="1" applyNumberFormat="1" applyFont="1" applyFill="1" applyBorder="1" applyAlignment="1" applyProtection="1">
      <alignment horizontal="right" vertical="center" shrinkToFit="1"/>
      <protection locked="0"/>
    </xf>
    <xf numFmtId="3" fontId="15" fillId="0" borderId="4" xfId="1" applyNumberFormat="1" applyFont="1" applyFill="1" applyBorder="1" applyAlignment="1" applyProtection="1">
      <alignment horizontal="right" vertical="center" shrinkToFit="1"/>
      <protection locked="0"/>
    </xf>
    <xf numFmtId="49" fontId="22" fillId="0" borderId="0" xfId="0" applyNumberFormat="1" applyFont="1" applyAlignment="1">
      <alignment horizontal="right"/>
    </xf>
    <xf numFmtId="4" fontId="83" fillId="0" borderId="2" xfId="1" applyNumberFormat="1" applyFont="1" applyFill="1" applyBorder="1" applyAlignment="1" applyProtection="1">
      <alignment vertical="center"/>
      <protection locked="0"/>
    </xf>
    <xf numFmtId="3" fontId="0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3" fontId="22" fillId="0" borderId="47" xfId="0" applyNumberFormat="1" applyFont="1" applyBorder="1"/>
    <xf numFmtId="4" fontId="22" fillId="0" borderId="47" xfId="0" applyNumberFormat="1" applyFont="1" applyBorder="1"/>
    <xf numFmtId="3" fontId="22" fillId="0" borderId="48" xfId="0" applyNumberFormat="1" applyFont="1" applyBorder="1"/>
    <xf numFmtId="4" fontId="22" fillId="0" borderId="48" xfId="0" applyNumberFormat="1" applyFont="1" applyBorder="1"/>
    <xf numFmtId="3" fontId="0" fillId="0" borderId="47" xfId="0" applyNumberFormat="1" applyBorder="1"/>
    <xf numFmtId="4" fontId="0" fillId="0" borderId="47" xfId="0" applyNumberFormat="1" applyBorder="1"/>
    <xf numFmtId="3" fontId="22" fillId="0" borderId="48" xfId="0" applyNumberFormat="1" applyFont="1" applyBorder="1" applyAlignment="1">
      <alignment horizontal="right" vertical="center"/>
    </xf>
    <xf numFmtId="4" fontId="22" fillId="0" borderId="48" xfId="0" applyNumberFormat="1" applyFont="1" applyBorder="1" applyAlignment="1">
      <alignment horizontal="right" vertical="center"/>
    </xf>
    <xf numFmtId="3" fontId="22" fillId="0" borderId="47" xfId="0" applyNumberFormat="1" applyFont="1" applyBorder="1" applyAlignment="1">
      <alignment horizontal="right" vertical="center"/>
    </xf>
    <xf numFmtId="4" fontId="22" fillId="0" borderId="47" xfId="0" applyNumberFormat="1" applyFont="1" applyBorder="1" applyAlignment="1">
      <alignment horizontal="right" vertical="center"/>
    </xf>
    <xf numFmtId="0" fontId="46" fillId="0" borderId="0" xfId="2" applyFont="1" applyProtection="1"/>
    <xf numFmtId="168" fontId="88" fillId="0" borderId="0" xfId="0" applyNumberFormat="1" applyFont="1" applyAlignment="1">
      <alignment horizontal="left"/>
    </xf>
    <xf numFmtId="0" fontId="75" fillId="0" borderId="0" xfId="0" applyFont="1"/>
    <xf numFmtId="0" fontId="89" fillId="0" borderId="0" xfId="2" applyFont="1" applyProtection="1"/>
    <xf numFmtId="4" fontId="46" fillId="0" borderId="0" xfId="2" applyNumberFormat="1" applyFont="1" applyAlignment="1" applyProtection="1">
      <alignment horizontal="right" vertical="center"/>
    </xf>
    <xf numFmtId="4" fontId="16" fillId="3" borderId="9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/>
    <xf numFmtId="0" fontId="15" fillId="0" borderId="0" xfId="0" applyFont="1" applyFill="1"/>
    <xf numFmtId="4" fontId="22" fillId="0" borderId="46" xfId="0" applyNumberFormat="1" applyFont="1" applyFill="1" applyBorder="1"/>
    <xf numFmtId="4" fontId="22" fillId="0" borderId="47" xfId="0" applyNumberFormat="1" applyFont="1" applyFill="1" applyBorder="1"/>
    <xf numFmtId="4" fontId="39" fillId="0" borderId="3" xfId="0" applyNumberFormat="1" applyFont="1" applyFill="1" applyBorder="1" applyAlignment="1" applyProtection="1">
      <alignment vertical="center"/>
      <protection locked="0"/>
    </xf>
    <xf numFmtId="0" fontId="66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38" fillId="0" borderId="0" xfId="0" applyFont="1" applyFill="1" applyAlignment="1">
      <alignment horizontal="left" vertical="center" wrapText="1"/>
    </xf>
    <xf numFmtId="0" fontId="59" fillId="0" borderId="20" xfId="0" applyFont="1" applyBorder="1" applyAlignment="1">
      <alignment vertical="center"/>
    </xf>
    <xf numFmtId="49" fontId="38" fillId="0" borderId="0" xfId="0" applyNumberFormat="1" applyFont="1" applyFill="1" applyAlignment="1">
      <alignment horizontal="left" vertical="center" wrapText="1"/>
    </xf>
    <xf numFmtId="0" fontId="22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4" fontId="22" fillId="0" borderId="37" xfId="0" applyNumberFormat="1" applyFont="1" applyBorder="1" applyAlignment="1">
      <alignment vertical="center"/>
    </xf>
    <xf numFmtId="4" fontId="22" fillId="0" borderId="46" xfId="0" applyNumberFormat="1" applyFont="1" applyFill="1" applyBorder="1" applyAlignment="1">
      <alignment vertical="center"/>
    </xf>
    <xf numFmtId="4" fontId="42" fillId="0" borderId="49" xfId="0" applyNumberFormat="1" applyFont="1" applyBorder="1" applyAlignment="1">
      <alignment vertical="center"/>
    </xf>
    <xf numFmtId="4" fontId="22" fillId="0" borderId="5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9" fontId="38" fillId="0" borderId="0" xfId="0" applyNumberFormat="1" applyFont="1" applyFill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49" fontId="38" fillId="0" borderId="0" xfId="0" applyNumberFormat="1" applyFont="1" applyFill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38" fillId="0" borderId="0" xfId="0" applyFont="1" applyFill="1" applyAlignment="1">
      <alignment horizontal="left" vertical="center" wrapText="1"/>
    </xf>
    <xf numFmtId="0" fontId="59" fillId="10" borderId="0" xfId="0" applyFont="1" applyFill="1" applyBorder="1" applyAlignment="1">
      <alignment vertical="center"/>
    </xf>
    <xf numFmtId="3" fontId="40" fillId="10" borderId="0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8" fillId="0" borderId="0" xfId="0" applyNumberFormat="1" applyFont="1" applyFill="1" applyAlignment="1">
      <alignment horizontal="left" vertical="center" wrapText="1"/>
    </xf>
    <xf numFmtId="4" fontId="84" fillId="9" borderId="0" xfId="5" applyNumberFormat="1" applyBorder="1" applyAlignment="1">
      <alignment horizontal="right" vertical="center"/>
    </xf>
    <xf numFmtId="49" fontId="38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left" vertical="center"/>
    </xf>
    <xf numFmtId="0" fontId="38" fillId="0" borderId="0" xfId="0" applyFont="1" applyFill="1" applyAlignment="1">
      <alignment horizontal="left" vertical="center" wrapText="1"/>
    </xf>
    <xf numFmtId="0" fontId="6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4" fillId="0" borderId="0" xfId="0" applyFont="1" applyBorder="1" applyAlignment="1">
      <alignment vertical="center" wrapText="1"/>
    </xf>
    <xf numFmtId="4" fontId="59" fillId="0" borderId="0" xfId="5" applyNumberFormat="1" applyFont="1" applyFill="1" applyBorder="1" applyAlignment="1">
      <alignment horizontal="right" vertical="center"/>
    </xf>
    <xf numFmtId="4" fontId="59" fillId="11" borderId="0" xfId="0" applyNumberFormat="1" applyFont="1" applyFill="1" applyBorder="1" applyAlignment="1">
      <alignment horizontal="right" vertical="center"/>
    </xf>
    <xf numFmtId="3" fontId="84" fillId="11" borderId="0" xfId="5" applyNumberFormat="1" applyFill="1" applyBorder="1" applyAlignment="1">
      <alignment horizontal="right" vertical="center"/>
    </xf>
    <xf numFmtId="3" fontId="84" fillId="11" borderId="26" xfId="5" applyNumberFormat="1" applyFill="1" applyBorder="1" applyAlignment="1">
      <alignment horizontal="right" vertical="center"/>
    </xf>
    <xf numFmtId="0" fontId="35" fillId="11" borderId="25" xfId="0" applyFont="1" applyFill="1" applyBorder="1" applyAlignment="1">
      <alignment horizontal="center" vertical="center"/>
    </xf>
    <xf numFmtId="0" fontId="40" fillId="11" borderId="20" xfId="0" applyFont="1" applyFill="1" applyBorder="1" applyAlignment="1">
      <alignment horizontal="center" vertical="center" wrapText="1"/>
    </xf>
    <xf numFmtId="4" fontId="62" fillId="0" borderId="0" xfId="0" applyNumberFormat="1" applyFont="1" applyBorder="1" applyAlignment="1">
      <alignment horizontal="right"/>
    </xf>
    <xf numFmtId="4" fontId="62" fillId="0" borderId="0" xfId="0" applyNumberFormat="1" applyFont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90" fillId="0" borderId="0" xfId="0" applyFont="1" applyAlignment="1">
      <alignment horizontal="left" vertical="center" wrapText="1"/>
    </xf>
    <xf numFmtId="4" fontId="59" fillId="0" borderId="19" xfId="0" applyNumberFormat="1" applyFont="1" applyBorder="1" applyAlignment="1">
      <alignment horizontal="right" vertical="center"/>
    </xf>
    <xf numFmtId="3" fontId="59" fillId="0" borderId="0" xfId="1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40" fillId="0" borderId="0" xfId="0" applyNumberFormat="1" applyFont="1" applyFill="1" applyBorder="1" applyAlignment="1">
      <alignment vertical="center"/>
    </xf>
    <xf numFmtId="3" fontId="21" fillId="0" borderId="20" xfId="1" applyNumberFormat="1" applyFont="1" applyFill="1" applyBorder="1" applyAlignment="1">
      <alignment vertical="center"/>
    </xf>
    <xf numFmtId="0" fontId="16" fillId="2" borderId="9" xfId="1" applyFont="1" applyFill="1" applyBorder="1" applyAlignment="1" applyProtection="1">
      <alignment horizontal="center" vertical="center" wrapText="1"/>
      <protection hidden="1"/>
    </xf>
    <xf numFmtId="0" fontId="22" fillId="0" borderId="4" xfId="0" applyFont="1" applyFill="1" applyBorder="1" applyAlignment="1">
      <alignment horizontal="right" vertical="center" wrapText="1"/>
    </xf>
    <xf numFmtId="0" fontId="18" fillId="0" borderId="0" xfId="0" applyFont="1" applyFill="1"/>
    <xf numFmtId="0" fontId="5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38" fillId="0" borderId="0" xfId="0" applyFont="1" applyFill="1" applyAlignment="1">
      <alignment horizontal="left" vertical="center" wrapText="1"/>
    </xf>
    <xf numFmtId="49" fontId="38" fillId="0" borderId="0" xfId="0" applyNumberFormat="1" applyFont="1" applyFill="1" applyAlignment="1">
      <alignment horizontal="left" vertical="center" wrapText="1"/>
    </xf>
    <xf numFmtId="49" fontId="38" fillId="0" borderId="0" xfId="0" applyNumberFormat="1" applyFont="1" applyFill="1" applyAlignment="1">
      <alignment horizontal="left" vertical="center"/>
    </xf>
    <xf numFmtId="0" fontId="16" fillId="2" borderId="9" xfId="1" applyFont="1" applyFill="1" applyBorder="1" applyAlignment="1" applyProtection="1">
      <alignment horizontal="center" vertical="center" wrapText="1"/>
      <protection hidden="1"/>
    </xf>
    <xf numFmtId="0" fontId="60" fillId="12" borderId="0" xfId="0" applyFont="1" applyFill="1" applyBorder="1" applyAlignment="1">
      <alignment vertical="center"/>
    </xf>
    <xf numFmtId="0" fontId="40" fillId="12" borderId="0" xfId="0" applyFont="1" applyFill="1" applyBorder="1" applyAlignment="1">
      <alignment vertical="center"/>
    </xf>
    <xf numFmtId="3" fontId="40" fillId="12" borderId="0" xfId="0" applyNumberFormat="1" applyFont="1" applyFill="1" applyBorder="1" applyAlignment="1">
      <alignment vertical="center"/>
    </xf>
    <xf numFmtId="4" fontId="40" fillId="12" borderId="0" xfId="0" applyNumberFormat="1" applyFont="1" applyFill="1" applyBorder="1" applyAlignment="1">
      <alignment vertical="center"/>
    </xf>
    <xf numFmtId="0" fontId="58" fillId="4" borderId="19" xfId="0" applyFont="1" applyFill="1" applyBorder="1" applyAlignment="1">
      <alignment horizontal="center" vertical="center" wrapText="1"/>
    </xf>
    <xf numFmtId="3" fontId="40" fillId="4" borderId="19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center" vertical="top"/>
    </xf>
    <xf numFmtId="0" fontId="56" fillId="0" borderId="0" xfId="0" applyFont="1" applyBorder="1" applyAlignment="1">
      <alignment horizontal="left" vertical="top"/>
    </xf>
    <xf numFmtId="0" fontId="0" fillId="0" borderId="51" xfId="0" applyBorder="1"/>
    <xf numFmtId="4" fontId="15" fillId="0" borderId="51" xfId="1" applyNumberFormat="1" applyFont="1" applyFill="1" applyBorder="1" applyAlignment="1" applyProtection="1">
      <alignment horizontal="right" vertical="center" shrinkToFit="1"/>
      <protection locked="0"/>
    </xf>
    <xf numFmtId="4" fontId="26" fillId="0" borderId="51" xfId="1" applyNumberFormat="1" applyFont="1" applyFill="1" applyBorder="1" applyAlignment="1" applyProtection="1">
      <alignment horizontal="right" vertical="center" shrinkToFit="1"/>
      <protection hidden="1"/>
    </xf>
    <xf numFmtId="4" fontId="14" fillId="0" borderId="51" xfId="1" applyNumberFormat="1" applyFont="1" applyFill="1" applyBorder="1" applyAlignment="1" applyProtection="1">
      <alignment horizontal="right" vertical="center" shrinkToFit="1"/>
      <protection locked="0"/>
    </xf>
    <xf numFmtId="4" fontId="14" fillId="0" borderId="51" xfId="1" applyNumberFormat="1" applyFont="1" applyFill="1" applyBorder="1" applyAlignment="1" applyProtection="1">
      <alignment horizontal="right" vertical="center" shrinkToFit="1"/>
      <protection hidden="1"/>
    </xf>
    <xf numFmtId="4" fontId="39" fillId="0" borderId="51" xfId="1" applyNumberFormat="1" applyFont="1" applyFill="1" applyBorder="1" applyAlignment="1" applyProtection="1">
      <alignment horizontal="right" vertical="center" shrinkToFit="1"/>
      <protection locked="0"/>
    </xf>
    <xf numFmtId="4" fontId="26" fillId="0" borderId="51" xfId="1" applyNumberFormat="1" applyFont="1" applyFill="1" applyBorder="1" applyAlignment="1" applyProtection="1">
      <alignment horizontal="right" vertical="center" shrinkToFit="1"/>
      <protection locked="0"/>
    </xf>
    <xf numFmtId="4" fontId="15" fillId="0" borderId="51" xfId="1" applyNumberFormat="1" applyFont="1" applyFill="1" applyBorder="1" applyAlignment="1" applyProtection="1">
      <alignment horizontal="right" vertical="center" shrinkToFit="1"/>
      <protection hidden="1"/>
    </xf>
    <xf numFmtId="4" fontId="83" fillId="0" borderId="51" xfId="1" applyNumberFormat="1" applyFont="1" applyFill="1" applyBorder="1" applyAlignment="1" applyProtection="1">
      <alignment horizontal="right" vertical="center" shrinkToFit="1"/>
      <protection locked="0"/>
    </xf>
    <xf numFmtId="0" fontId="64" fillId="0" borderId="0" xfId="0" applyFont="1"/>
    <xf numFmtId="0" fontId="16" fillId="2" borderId="9" xfId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vertical="center"/>
    </xf>
    <xf numFmtId="0" fontId="85" fillId="0" borderId="43" xfId="0" applyFont="1" applyFill="1" applyBorder="1" applyAlignment="1">
      <alignment horizontal="right"/>
    </xf>
    <xf numFmtId="0" fontId="85" fillId="0" borderId="46" xfId="0" applyFont="1" applyFill="1" applyBorder="1"/>
    <xf numFmtId="0" fontId="85" fillId="0" borderId="38" xfId="0" applyFont="1" applyFill="1" applyBorder="1" applyAlignment="1">
      <alignment horizontal="right"/>
    </xf>
    <xf numFmtId="0" fontId="85" fillId="0" borderId="40" xfId="0" applyFont="1" applyFill="1" applyBorder="1" applyAlignment="1">
      <alignment horizontal="right"/>
    </xf>
    <xf numFmtId="4" fontId="18" fillId="0" borderId="46" xfId="0" applyNumberFormat="1" applyFont="1" applyFill="1" applyBorder="1"/>
    <xf numFmtId="4" fontId="42" fillId="0" borderId="41" xfId="0" applyNumberFormat="1" applyFont="1" applyFill="1" applyBorder="1"/>
    <xf numFmtId="49" fontId="18" fillId="0" borderId="0" xfId="0" applyNumberFormat="1" applyFont="1" applyFill="1"/>
    <xf numFmtId="0" fontId="9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/>
    <xf numFmtId="0" fontId="0" fillId="0" borderId="0" xfId="0" applyAlignment="1"/>
    <xf numFmtId="0" fontId="14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 indent="1"/>
    </xf>
    <xf numFmtId="0" fontId="15" fillId="0" borderId="3" xfId="1" applyFont="1" applyFill="1" applyBorder="1" applyAlignment="1">
      <alignment horizontal="left" vertical="center" wrapText="1" indent="1"/>
    </xf>
    <xf numFmtId="0" fontId="26" fillId="0" borderId="2" xfId="1" applyFont="1" applyFill="1" applyBorder="1" applyAlignment="1">
      <alignment horizontal="left" vertical="center" wrapText="1"/>
    </xf>
    <xf numFmtId="0" fontId="26" fillId="0" borderId="2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18" fillId="0" borderId="46" xfId="0" applyFont="1" applyFill="1" applyBorder="1" applyAlignment="1"/>
    <xf numFmtId="0" fontId="18" fillId="0" borderId="40" xfId="0" applyFont="1" applyFill="1" applyBorder="1" applyAlignment="1"/>
    <xf numFmtId="0" fontId="23" fillId="0" borderId="0" xfId="1" applyFont="1" applyFill="1" applyBorder="1" applyAlignment="1" applyProtection="1">
      <alignment horizontal="center" vertical="center" wrapText="1"/>
      <protection hidden="1"/>
    </xf>
    <xf numFmtId="0" fontId="25" fillId="0" borderId="0" xfId="1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horizontal="center" vertical="center"/>
    </xf>
    <xf numFmtId="0" fontId="24" fillId="0" borderId="12" xfId="1" applyFont="1" applyFill="1" applyBorder="1" applyAlignment="1" applyProtection="1">
      <alignment horizontal="center" vertical="top" wrapText="1"/>
      <protection hidden="1"/>
    </xf>
    <xf numFmtId="0" fontId="0" fillId="0" borderId="12" xfId="0" applyBorder="1" applyAlignment="1">
      <alignment wrapText="1"/>
    </xf>
    <xf numFmtId="0" fontId="16" fillId="3" borderId="9" xfId="1" applyFont="1" applyFill="1" applyBorder="1" applyAlignment="1" applyProtection="1">
      <alignment horizontal="center" vertical="center" wrapText="1"/>
      <protection hidden="1"/>
    </xf>
    <xf numFmtId="0" fontId="26" fillId="0" borderId="1" xfId="1" applyFont="1" applyFill="1" applyBorder="1" applyAlignment="1">
      <alignment horizontal="left" vertical="center" wrapText="1"/>
    </xf>
    <xf numFmtId="0" fontId="26" fillId="0" borderId="13" xfId="1" applyFont="1" applyFill="1" applyBorder="1" applyAlignment="1" applyProtection="1">
      <alignment horizontal="left" vertical="center" wrapText="1"/>
      <protection hidden="1"/>
    </xf>
    <xf numFmtId="0" fontId="0" fillId="0" borderId="13" xfId="0" applyBorder="1" applyAlignment="1">
      <alignment horizontal="left" vertical="center" wrapText="1"/>
    </xf>
    <xf numFmtId="0" fontId="26" fillId="0" borderId="3" xfId="1" applyFont="1" applyFill="1" applyBorder="1" applyAlignment="1">
      <alignment horizontal="left" vertical="center" wrapText="1"/>
    </xf>
    <xf numFmtId="0" fontId="18" fillId="0" borderId="0" xfId="0" applyFont="1" applyFill="1" applyBorder="1" applyAlignment="1"/>
    <xf numFmtId="0" fontId="0" fillId="0" borderId="0" xfId="0" applyFill="1" applyBorder="1" applyAlignment="1"/>
    <xf numFmtId="0" fontId="27" fillId="0" borderId="12" xfId="1" applyFont="1" applyBorder="1" applyAlignment="1" applyProtection="1">
      <alignment horizontal="center" vertical="top" wrapText="1"/>
      <protection hidden="1"/>
    </xf>
    <xf numFmtId="0" fontId="27" fillId="0" borderId="12" xfId="0" applyFont="1" applyBorder="1" applyAlignment="1">
      <alignment horizontal="center"/>
    </xf>
    <xf numFmtId="0" fontId="26" fillId="0" borderId="5" xfId="1" applyFont="1" applyFill="1" applyBorder="1" applyAlignment="1">
      <alignment horizontal="left" vertical="center" wrapText="1"/>
    </xf>
    <xf numFmtId="0" fontId="26" fillId="0" borderId="14" xfId="1" applyFont="1" applyFill="1" applyBorder="1" applyAlignment="1">
      <alignment horizontal="left" vertical="center" wrapText="1"/>
    </xf>
    <xf numFmtId="0" fontId="26" fillId="0" borderId="10" xfId="1" applyFont="1" applyFill="1" applyBorder="1" applyAlignment="1">
      <alignment horizontal="left" vertical="center" wrapText="1"/>
    </xf>
    <xf numFmtId="0" fontId="26" fillId="0" borderId="11" xfId="1" applyFont="1" applyFill="1" applyBorder="1" applyAlignment="1">
      <alignment horizontal="left" vertical="center" wrapText="1"/>
    </xf>
    <xf numFmtId="0" fontId="28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/>
    </xf>
    <xf numFmtId="0" fontId="16" fillId="2" borderId="9" xfId="1" applyFont="1" applyFill="1" applyBorder="1" applyAlignment="1" applyProtection="1">
      <alignment horizontal="center" vertical="center" wrapText="1"/>
      <protection hidden="1"/>
    </xf>
    <xf numFmtId="0" fontId="20" fillId="4" borderId="6" xfId="1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left" vertical="center"/>
    </xf>
    <xf numFmtId="0" fontId="15" fillId="0" borderId="3" xfId="1" applyFont="1" applyFill="1" applyBorder="1" applyAlignment="1">
      <alignment horizontal="left" vertical="center" wrapText="1"/>
    </xf>
    <xf numFmtId="0" fontId="23" fillId="0" borderId="12" xfId="1" applyFont="1" applyFill="1" applyBorder="1" applyAlignment="1" applyProtection="1">
      <alignment horizontal="center" vertical="center"/>
      <protection hidden="1"/>
    </xf>
    <xf numFmtId="0" fontId="25" fillId="0" borderId="12" xfId="0" applyFont="1" applyBorder="1" applyAlignment="1">
      <alignment horizontal="center" vertical="center"/>
    </xf>
    <xf numFmtId="0" fontId="20" fillId="4" borderId="9" xfId="1" applyFont="1" applyFill="1" applyBorder="1" applyAlignment="1">
      <alignment horizontal="left" vertical="center" wrapText="1"/>
    </xf>
    <xf numFmtId="0" fontId="20" fillId="4" borderId="9" xfId="1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 wrapText="1" indent="2"/>
    </xf>
    <xf numFmtId="0" fontId="26" fillId="0" borderId="6" xfId="0" applyFont="1" applyFill="1" applyBorder="1" applyAlignment="1">
      <alignment horizontal="left" vertical="center" shrinkToFit="1"/>
    </xf>
    <xf numFmtId="0" fontId="31" fillId="0" borderId="7" xfId="0" applyFont="1" applyFill="1" applyBorder="1" applyAlignment="1">
      <alignment horizontal="left" vertical="center" shrinkToFit="1"/>
    </xf>
    <xf numFmtId="0" fontId="15" fillId="0" borderId="5" xfId="0" applyFont="1" applyFill="1" applyBorder="1" applyAlignment="1">
      <alignment horizontal="left" vertical="center" wrapText="1" indent="2"/>
    </xf>
    <xf numFmtId="0" fontId="14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top" wrapText="1"/>
    </xf>
    <xf numFmtId="0" fontId="51" fillId="7" borderId="9" xfId="0" applyFont="1" applyFill="1" applyBorder="1" applyAlignment="1" applyProtection="1">
      <alignment horizontal="left" vertical="center" wrapText="1"/>
    </xf>
    <xf numFmtId="0" fontId="70" fillId="0" borderId="0" xfId="4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71" fillId="0" borderId="0" xfId="0" applyFont="1" applyAlignment="1"/>
    <xf numFmtId="0" fontId="23" fillId="0" borderId="12" xfId="0" applyFont="1" applyFill="1" applyBorder="1" applyAlignment="1">
      <alignment horizontal="center" vertical="center"/>
    </xf>
    <xf numFmtId="0" fontId="72" fillId="0" borderId="12" xfId="0" applyFont="1" applyBorder="1" applyAlignment="1"/>
    <xf numFmtId="0" fontId="33" fillId="0" borderId="13" xfId="1" applyFont="1" applyFill="1" applyBorder="1" applyAlignment="1" applyProtection="1">
      <alignment horizontal="left" vertical="center" wrapText="1"/>
      <protection hidden="1"/>
    </xf>
    <xf numFmtId="0" fontId="48" fillId="2" borderId="35" xfId="0" applyFont="1" applyFill="1" applyBorder="1" applyAlignment="1" applyProtection="1">
      <alignment horizontal="center" vertical="center" wrapText="1"/>
    </xf>
    <xf numFmtId="0" fontId="48" fillId="2" borderId="15" xfId="0" applyFont="1" applyFill="1" applyBorder="1" applyAlignment="1" applyProtection="1">
      <alignment horizontal="center" vertical="center" wrapText="1"/>
    </xf>
    <xf numFmtId="0" fontId="48" fillId="2" borderId="36" xfId="0" applyFont="1" applyFill="1" applyBorder="1" applyAlignment="1" applyProtection="1">
      <alignment horizontal="center" vertical="center" wrapText="1"/>
    </xf>
    <xf numFmtId="0" fontId="48" fillId="2" borderId="38" xfId="0" applyFont="1" applyFill="1" applyBorder="1" applyAlignment="1" applyProtection="1">
      <alignment horizontal="center" vertical="center" wrapText="1"/>
    </xf>
    <xf numFmtId="0" fontId="48" fillId="2" borderId="4" xfId="0" applyFont="1" applyFill="1" applyBorder="1" applyAlignment="1" applyProtection="1">
      <alignment horizontal="center" vertical="center" wrapText="1"/>
    </xf>
    <xf numFmtId="0" fontId="48" fillId="2" borderId="39" xfId="0" applyFont="1" applyFill="1" applyBorder="1" applyAlignment="1" applyProtection="1">
      <alignment horizontal="center" vertical="center" wrapText="1"/>
    </xf>
    <xf numFmtId="0" fontId="48" fillId="2" borderId="37" xfId="0" applyFont="1" applyFill="1" applyBorder="1" applyAlignment="1" applyProtection="1">
      <alignment horizontal="center" vertical="center" wrapText="1"/>
    </xf>
    <xf numFmtId="0" fontId="48" fillId="2" borderId="40" xfId="0" applyFont="1" applyFill="1" applyBorder="1" applyAlignment="1" applyProtection="1">
      <alignment horizontal="center" vertical="center" wrapText="1"/>
    </xf>
    <xf numFmtId="3" fontId="48" fillId="2" borderId="6" xfId="0" applyNumberFormat="1" applyFont="1" applyFill="1" applyBorder="1" applyAlignment="1" applyProtection="1">
      <alignment horizontal="center" vertical="center" wrapText="1"/>
    </xf>
    <xf numFmtId="3" fontId="48" fillId="2" borderId="7" xfId="0" applyNumberFormat="1" applyFont="1" applyFill="1" applyBorder="1" applyAlignment="1" applyProtection="1">
      <alignment horizontal="center" vertical="center" wrapText="1"/>
    </xf>
    <xf numFmtId="3" fontId="48" fillId="2" borderId="8" xfId="0" applyNumberFormat="1" applyFont="1" applyFill="1" applyBorder="1" applyAlignment="1" applyProtection="1">
      <alignment horizontal="center" vertical="center" wrapText="1"/>
    </xf>
    <xf numFmtId="3" fontId="48" fillId="2" borderId="37" xfId="0" applyNumberFormat="1" applyFont="1" applyFill="1" applyBorder="1" applyAlignment="1" applyProtection="1">
      <alignment horizontal="center" vertical="center" wrapText="1"/>
    </xf>
    <xf numFmtId="3" fontId="48" fillId="2" borderId="40" xfId="0" applyNumberFormat="1" applyFont="1" applyFill="1" applyBorder="1" applyAlignment="1" applyProtection="1">
      <alignment horizontal="center" vertical="center" wrapText="1"/>
    </xf>
    <xf numFmtId="49" fontId="48" fillId="2" borderId="9" xfId="0" applyNumberFormat="1" applyFont="1" applyFill="1" applyBorder="1" applyAlignment="1" applyProtection="1">
      <alignment horizontal="center" vertical="center" wrapText="1"/>
    </xf>
    <xf numFmtId="0" fontId="47" fillId="5" borderId="9" xfId="0" applyFont="1" applyFill="1" applyBorder="1" applyAlignment="1" applyProtection="1">
      <alignment horizontal="left" vertical="center"/>
    </xf>
    <xf numFmtId="0" fontId="50" fillId="5" borderId="9" xfId="0" applyFont="1" applyFill="1" applyBorder="1" applyAlignment="1" applyProtection="1">
      <alignment vertical="center"/>
    </xf>
    <xf numFmtId="0" fontId="46" fillId="0" borderId="9" xfId="0" applyFont="1" applyBorder="1" applyAlignment="1" applyProtection="1">
      <alignment vertical="center"/>
    </xf>
    <xf numFmtId="0" fontId="51" fillId="0" borderId="9" xfId="0" applyFont="1" applyBorder="1" applyAlignment="1" applyProtection="1">
      <alignment horizontal="left" vertical="center" wrapText="1"/>
    </xf>
    <xf numFmtId="0" fontId="46" fillId="0" borderId="9" xfId="0" applyFont="1" applyBorder="1" applyAlignment="1" applyProtection="1">
      <alignment horizontal="left" vertical="center" wrapText="1"/>
    </xf>
    <xf numFmtId="0" fontId="47" fillId="7" borderId="9" xfId="0" applyFont="1" applyFill="1" applyBorder="1" applyAlignment="1" applyProtection="1">
      <alignment horizontal="left" vertical="center" wrapText="1"/>
    </xf>
    <xf numFmtId="0" fontId="46" fillId="0" borderId="9" xfId="0" applyFont="1" applyBorder="1" applyProtection="1"/>
    <xf numFmtId="0" fontId="62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3" fontId="59" fillId="0" borderId="0" xfId="2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4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2" fillId="0" borderId="20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66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58" fillId="0" borderId="19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38" fillId="0" borderId="0" xfId="0" applyFont="1" applyFill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/>
    <xf numFmtId="0" fontId="59" fillId="0" borderId="2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59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9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0" fillId="0" borderId="0" xfId="0" applyFont="1" applyAlignment="1">
      <alignment horizontal="left"/>
    </xf>
    <xf numFmtId="0" fontId="66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9" fillId="0" borderId="19" xfId="2" applyFont="1" applyBorder="1" applyAlignment="1">
      <alignment horizontal="left" vertical="center" wrapText="1"/>
    </xf>
    <xf numFmtId="3" fontId="59" fillId="0" borderId="19" xfId="2" applyNumberFormat="1" applyFont="1" applyBorder="1" applyAlignment="1">
      <alignment vertical="center"/>
    </xf>
    <xf numFmtId="3" fontId="59" fillId="0" borderId="20" xfId="2" applyNumberFormat="1" applyFont="1" applyBorder="1" applyAlignment="1">
      <alignment vertical="center"/>
    </xf>
    <xf numFmtId="0" fontId="54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/>
    </xf>
    <xf numFmtId="0" fontId="66" fillId="0" borderId="34" xfId="0" applyFont="1" applyBorder="1" applyAlignment="1">
      <alignment horizontal="left" vertical="center" wrapText="1"/>
    </xf>
    <xf numFmtId="0" fontId="59" fillId="0" borderId="20" xfId="0" applyFont="1" applyBorder="1" applyAlignment="1">
      <alignment vertical="center"/>
    </xf>
    <xf numFmtId="49" fontId="54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Fill="1" applyAlignment="1">
      <alignment horizontal="left" vertical="center" wrapText="1"/>
    </xf>
    <xf numFmtId="3" fontId="38" fillId="0" borderId="0" xfId="0" applyNumberFormat="1" applyFont="1" applyFill="1" applyAlignment="1">
      <alignment horizontal="left" vertical="center" wrapText="1"/>
    </xf>
    <xf numFmtId="0" fontId="58" fillId="4" borderId="23" xfId="0" applyFont="1" applyFill="1" applyBorder="1" applyAlignment="1">
      <alignment horizontal="center" vertical="center" wrapText="1"/>
    </xf>
    <xf numFmtId="0" fontId="58" fillId="4" borderId="20" xfId="0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left" vertical="center"/>
    </xf>
    <xf numFmtId="49" fontId="62" fillId="0" borderId="0" xfId="0" applyNumberFormat="1" applyFont="1" applyFill="1" applyAlignment="1">
      <alignment vertical="center" wrapText="1"/>
    </xf>
    <xf numFmtId="0" fontId="59" fillId="0" borderId="0" xfId="0" applyFont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Alignment="1">
      <alignment horizontal="left" vertical="center" wrapText="1"/>
    </xf>
    <xf numFmtId="0" fontId="58" fillId="4" borderId="23" xfId="0" applyFont="1" applyFill="1" applyBorder="1" applyAlignment="1">
      <alignment horizontal="center" vertical="center"/>
    </xf>
    <xf numFmtId="0" fontId="58" fillId="4" borderId="2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justify" wrapText="1"/>
    </xf>
    <xf numFmtId="0" fontId="59" fillId="0" borderId="0" xfId="0" applyFont="1" applyAlignment="1">
      <alignment horizontal="justify" wrapText="1"/>
    </xf>
    <xf numFmtId="0" fontId="40" fillId="4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66" fillId="0" borderId="20" xfId="0" applyFont="1" applyBorder="1" applyAlignment="1">
      <alignment vertical="center"/>
    </xf>
  </cellXfs>
  <cellStyles count="6">
    <cellStyle name="Bad" xfId="5" builtinId="27"/>
    <cellStyle name="Comma 2" xfId="3"/>
    <cellStyle name="Normal" xfId="0" builtinId="0"/>
    <cellStyle name="Normal 2" xfId="1"/>
    <cellStyle name="Normal 2 2" xfId="2"/>
    <cellStyle name="Style 1" xfId="4"/>
  </cellStyles>
  <dxfs count="16"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C7CE"/>
      <color rgb="FF3C4682"/>
      <color rgb="FF3264C8"/>
      <color rgb="FF3C468A"/>
      <color rgb="FF3364FF"/>
      <color rgb="FF3333FF"/>
      <color rgb="FF33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abSelected="1" zoomScaleNormal="100" workbookViewId="0">
      <selection activeCell="W134" sqref="W134"/>
    </sheetView>
  </sheetViews>
  <sheetFormatPr defaultRowHeight="15" x14ac:dyDescent="0.25"/>
  <cols>
    <col min="6" max="6" width="23.7109375" customWidth="1"/>
    <col min="7" max="7" width="5" customWidth="1"/>
    <col min="8" max="10" width="15.85546875" hidden="1" customWidth="1"/>
    <col min="11" max="11" width="15.85546875" style="21" customWidth="1"/>
    <col min="12" max="12" width="16.5703125" customWidth="1"/>
    <col min="13" max="13" width="13.140625" hidden="1" customWidth="1"/>
    <col min="14" max="14" width="13.85546875" hidden="1" customWidth="1"/>
    <col min="24" max="24" width="2" customWidth="1"/>
  </cols>
  <sheetData>
    <row r="1" spans="1:16" ht="21.75" thickBot="1" x14ac:dyDescent="0.3">
      <c r="A1" s="674" t="s">
        <v>1007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388">
        <v>7.5345000000000004</v>
      </c>
    </row>
    <row r="2" spans="1:16" s="13" customFormat="1" ht="15" customHeight="1" thickTop="1" x14ac:dyDescent="0.25">
      <c r="A2" s="382" t="s">
        <v>170</v>
      </c>
      <c r="B2" s="382"/>
      <c r="C2" s="382"/>
      <c r="D2" s="382"/>
      <c r="E2" s="382"/>
      <c r="F2" s="382"/>
      <c r="G2" s="382"/>
      <c r="H2" s="22" t="s">
        <v>171</v>
      </c>
      <c r="I2" s="22" t="s">
        <v>1005</v>
      </c>
      <c r="J2" s="22"/>
      <c r="K2" s="598"/>
      <c r="L2" s="22" t="s">
        <v>1005</v>
      </c>
    </row>
    <row r="3" spans="1:16" ht="26.25" customHeight="1" x14ac:dyDescent="0.25">
      <c r="A3" s="670" t="s">
        <v>0</v>
      </c>
      <c r="B3" s="670"/>
      <c r="C3" s="670"/>
      <c r="D3" s="670"/>
      <c r="E3" s="670"/>
      <c r="F3" s="670"/>
      <c r="G3" s="40" t="s">
        <v>144</v>
      </c>
      <c r="H3" s="40" t="s">
        <v>907</v>
      </c>
      <c r="I3" s="383" t="s">
        <v>907</v>
      </c>
      <c r="J3" s="608" t="s">
        <v>1131</v>
      </c>
      <c r="K3" s="597" t="s">
        <v>1130</v>
      </c>
      <c r="L3" s="40" t="s">
        <v>1006</v>
      </c>
    </row>
    <row r="4" spans="1:16" s="19" customFormat="1" ht="18" customHeight="1" x14ac:dyDescent="0.25">
      <c r="A4" s="671" t="s">
        <v>1</v>
      </c>
      <c r="B4" s="672"/>
      <c r="C4" s="672"/>
      <c r="D4" s="672"/>
      <c r="E4" s="672"/>
      <c r="F4" s="672"/>
      <c r="G4" s="20"/>
      <c r="H4" s="20"/>
      <c r="I4" s="20"/>
      <c r="J4" s="20"/>
      <c r="K4" s="20"/>
      <c r="L4" s="38"/>
    </row>
    <row r="5" spans="1:16" ht="12" customHeight="1" x14ac:dyDescent="0.25">
      <c r="A5" s="664" t="s">
        <v>2</v>
      </c>
      <c r="B5" s="664"/>
      <c r="C5" s="664"/>
      <c r="D5" s="664"/>
      <c r="E5" s="664"/>
      <c r="F5" s="664"/>
      <c r="G5" s="6"/>
      <c r="H5" s="17"/>
      <c r="I5" s="17"/>
      <c r="J5" s="17"/>
      <c r="K5" s="17"/>
      <c r="L5" s="17"/>
    </row>
    <row r="6" spans="1:16" ht="12" customHeight="1" x14ac:dyDescent="0.25">
      <c r="A6" s="665" t="s">
        <v>143</v>
      </c>
      <c r="B6" s="666"/>
      <c r="C6" s="666"/>
      <c r="D6" s="666"/>
      <c r="E6" s="666"/>
      <c r="F6" s="667"/>
      <c r="G6" s="7"/>
      <c r="H6" s="23">
        <f>H7+H14+H24+H35+H40</f>
        <v>30336084610</v>
      </c>
      <c r="I6" s="392">
        <f>I7+I14+I24+I35+I40</f>
        <v>4026290345.77</v>
      </c>
      <c r="J6" s="392"/>
      <c r="K6" s="392">
        <f>K7+K14+K24+K35+K40</f>
        <v>4040028333.4899998</v>
      </c>
      <c r="L6" s="392">
        <f>L7+L14+L24+L35+L40</f>
        <v>4140929598.0899997</v>
      </c>
    </row>
    <row r="7" spans="1:16" ht="12" customHeight="1" x14ac:dyDescent="0.25">
      <c r="A7" s="668" t="s">
        <v>142</v>
      </c>
      <c r="B7" s="668"/>
      <c r="C7" s="668"/>
      <c r="D7" s="668"/>
      <c r="E7" s="668"/>
      <c r="F7" s="668"/>
      <c r="G7" s="7" t="s">
        <v>769</v>
      </c>
      <c r="H7" s="35">
        <f>SUM(H8:H13)</f>
        <v>256091840</v>
      </c>
      <c r="I7" s="404">
        <f>SUM(I8:I13)</f>
        <v>33989228.219999999</v>
      </c>
      <c r="J7" s="404"/>
      <c r="K7" s="404">
        <f>SUM(K8:K13)</f>
        <v>33989228.219999999</v>
      </c>
      <c r="L7" s="404">
        <f>SUM(L8:L13)</f>
        <v>38213186.520000003</v>
      </c>
    </row>
    <row r="8" spans="1:16" ht="12" customHeight="1" x14ac:dyDescent="0.25">
      <c r="A8" s="646" t="s">
        <v>3</v>
      </c>
      <c r="B8" s="646"/>
      <c r="C8" s="646"/>
      <c r="D8" s="646"/>
      <c r="E8" s="646"/>
      <c r="F8" s="646"/>
      <c r="G8" s="7"/>
      <c r="H8" s="8"/>
      <c r="I8" s="391"/>
      <c r="J8" s="391"/>
      <c r="K8" s="391"/>
      <c r="L8" s="391"/>
    </row>
    <row r="9" spans="1:16" ht="12" customHeight="1" x14ac:dyDescent="0.25">
      <c r="A9" s="669" t="s">
        <v>128</v>
      </c>
      <c r="B9" s="669"/>
      <c r="C9" s="669"/>
      <c r="D9" s="669"/>
      <c r="E9" s="669"/>
      <c r="F9" s="669"/>
      <c r="G9" s="7"/>
      <c r="H9" s="8">
        <v>200247496</v>
      </c>
      <c r="I9" s="391">
        <f>+ROUND((H9/$M$1),2)</f>
        <v>26577410.050000001</v>
      </c>
      <c r="J9" s="391"/>
      <c r="K9" s="391">
        <v>26577410.050000001</v>
      </c>
      <c r="L9" s="391">
        <v>33195653.890000001</v>
      </c>
    </row>
    <row r="10" spans="1:16" ht="12" customHeight="1" x14ac:dyDescent="0.25">
      <c r="A10" s="646" t="s">
        <v>4</v>
      </c>
      <c r="B10" s="646"/>
      <c r="C10" s="646"/>
      <c r="D10" s="646"/>
      <c r="E10" s="646"/>
      <c r="F10" s="646"/>
      <c r="G10" s="7"/>
      <c r="H10" s="8"/>
      <c r="I10" s="391"/>
      <c r="J10" s="391"/>
      <c r="K10" s="391"/>
      <c r="L10" s="391"/>
    </row>
    <row r="11" spans="1:16" ht="12" customHeight="1" x14ac:dyDescent="0.25">
      <c r="A11" s="646" t="s">
        <v>5</v>
      </c>
      <c r="B11" s="646"/>
      <c r="C11" s="646"/>
      <c r="D11" s="646"/>
      <c r="E11" s="646"/>
      <c r="F11" s="646"/>
      <c r="G11" s="7"/>
      <c r="H11" s="8"/>
      <c r="I11" s="391"/>
      <c r="J11" s="391"/>
      <c r="K11" s="391"/>
      <c r="L11" s="391"/>
    </row>
    <row r="12" spans="1:16" ht="12" customHeight="1" x14ac:dyDescent="0.25">
      <c r="A12" s="646" t="s">
        <v>6</v>
      </c>
      <c r="B12" s="646"/>
      <c r="C12" s="646"/>
      <c r="D12" s="646"/>
      <c r="E12" s="646"/>
      <c r="F12" s="646"/>
      <c r="G12" s="7"/>
      <c r="H12" s="8">
        <v>55844344</v>
      </c>
      <c r="I12" s="391">
        <f>+ROUND((H12/$M$1),2)</f>
        <v>7411818.1699999999</v>
      </c>
      <c r="J12" s="391"/>
      <c r="K12" s="391">
        <v>7411818.1699999999</v>
      </c>
      <c r="L12" s="391">
        <v>5017532.63</v>
      </c>
    </row>
    <row r="13" spans="1:16" ht="12" customHeight="1" x14ac:dyDescent="0.25">
      <c r="A13" s="646" t="s">
        <v>7</v>
      </c>
      <c r="B13" s="646"/>
      <c r="C13" s="646"/>
      <c r="D13" s="646"/>
      <c r="E13" s="646"/>
      <c r="F13" s="646"/>
      <c r="G13" s="7"/>
      <c r="H13" s="8"/>
      <c r="I13" s="391"/>
      <c r="J13" s="391"/>
      <c r="K13" s="391"/>
      <c r="L13" s="391"/>
    </row>
    <row r="14" spans="1:16" ht="12" customHeight="1" x14ac:dyDescent="0.25">
      <c r="A14" s="668" t="s">
        <v>141</v>
      </c>
      <c r="B14" s="668"/>
      <c r="C14" s="668"/>
      <c r="D14" s="668"/>
      <c r="E14" s="668"/>
      <c r="F14" s="668"/>
      <c r="G14" s="7" t="s">
        <v>414</v>
      </c>
      <c r="H14" s="35">
        <f>SUM(H15:H23)</f>
        <v>1794673080</v>
      </c>
      <c r="I14" s="404">
        <f>SUM(I15:I23)</f>
        <v>238194051.37999997</v>
      </c>
      <c r="J14" s="404"/>
      <c r="K14" s="404">
        <f>SUM(K15:K23)</f>
        <v>238194051.37999997</v>
      </c>
      <c r="L14" s="404">
        <f>SUM(L15:L23)</f>
        <v>297181113.14999998</v>
      </c>
    </row>
    <row r="15" spans="1:16" ht="12" customHeight="1" x14ac:dyDescent="0.25">
      <c r="A15" s="646" t="s">
        <v>8</v>
      </c>
      <c r="B15" s="646"/>
      <c r="C15" s="646"/>
      <c r="D15" s="646"/>
      <c r="E15" s="646"/>
      <c r="F15" s="646"/>
      <c r="G15" s="7"/>
      <c r="H15" s="8">
        <v>64722563</v>
      </c>
      <c r="I15" s="391">
        <f t="shared" ref="I15:I23" si="0">+ROUND((H15/$M$1),2)</f>
        <v>8590160.3300000001</v>
      </c>
      <c r="J15" s="391"/>
      <c r="K15" s="391">
        <v>8590160.3300000001</v>
      </c>
      <c r="L15" s="391">
        <v>8590531.5899999999</v>
      </c>
    </row>
    <row r="16" spans="1:16" ht="12" customHeight="1" x14ac:dyDescent="0.25">
      <c r="A16" s="646" t="s">
        <v>9</v>
      </c>
      <c r="B16" s="646"/>
      <c r="C16" s="646"/>
      <c r="D16" s="646"/>
      <c r="E16" s="646"/>
      <c r="F16" s="646"/>
      <c r="G16" s="7"/>
      <c r="H16" s="8">
        <v>205104330</v>
      </c>
      <c r="I16" s="391">
        <f t="shared" si="0"/>
        <v>27222022.699999999</v>
      </c>
      <c r="J16" s="391">
        <v>-2660256.63</v>
      </c>
      <c r="K16" s="391">
        <f>27222022.7-2660256.63</f>
        <v>24561766.07</v>
      </c>
      <c r="L16" s="391">
        <v>23453706.100000001</v>
      </c>
      <c r="M16" s="44" t="s">
        <v>1128</v>
      </c>
      <c r="N16" s="44"/>
      <c r="O16" s="44"/>
      <c r="P16" s="44"/>
    </row>
    <row r="17" spans="1:16" ht="12" customHeight="1" x14ac:dyDescent="0.25">
      <c r="A17" s="646" t="s">
        <v>10</v>
      </c>
      <c r="B17" s="646"/>
      <c r="C17" s="646"/>
      <c r="D17" s="646"/>
      <c r="E17" s="646"/>
      <c r="F17" s="646"/>
      <c r="G17" s="7"/>
      <c r="H17" s="8">
        <v>96708335</v>
      </c>
      <c r="I17" s="391">
        <f t="shared" si="0"/>
        <v>12835401.82</v>
      </c>
      <c r="J17" s="391"/>
      <c r="K17" s="391">
        <v>12835401.82</v>
      </c>
      <c r="L17" s="391">
        <v>20439233.629999999</v>
      </c>
    </row>
    <row r="18" spans="1:16" ht="12" customHeight="1" x14ac:dyDescent="0.25">
      <c r="A18" s="646" t="s">
        <v>11</v>
      </c>
      <c r="B18" s="646"/>
      <c r="C18" s="646"/>
      <c r="D18" s="646"/>
      <c r="E18" s="646"/>
      <c r="F18" s="646"/>
      <c r="G18" s="7"/>
      <c r="H18" s="8">
        <v>5198480</v>
      </c>
      <c r="I18" s="391">
        <f t="shared" si="0"/>
        <v>689956.87</v>
      </c>
      <c r="J18" s="391"/>
      <c r="K18" s="391">
        <v>689956.87</v>
      </c>
      <c r="L18" s="391">
        <v>547377.92000000004</v>
      </c>
    </row>
    <row r="19" spans="1:16" ht="12" customHeight="1" x14ac:dyDescent="0.25">
      <c r="A19" s="646" t="s">
        <v>12</v>
      </c>
      <c r="B19" s="646"/>
      <c r="C19" s="646"/>
      <c r="D19" s="646"/>
      <c r="E19" s="646"/>
      <c r="F19" s="646"/>
      <c r="G19" s="7"/>
      <c r="H19" s="8"/>
      <c r="I19" s="391"/>
      <c r="J19" s="391"/>
      <c r="K19" s="391"/>
      <c r="L19" s="391"/>
    </row>
    <row r="20" spans="1:16" ht="12" customHeight="1" x14ac:dyDescent="0.25">
      <c r="A20" s="646" t="s">
        <v>13</v>
      </c>
      <c r="B20" s="646"/>
      <c r="C20" s="646"/>
      <c r="D20" s="646"/>
      <c r="E20" s="646"/>
      <c r="F20" s="646"/>
      <c r="G20" s="7" t="s">
        <v>770</v>
      </c>
      <c r="H20" s="8">
        <v>136840179</v>
      </c>
      <c r="I20" s="391">
        <f t="shared" si="0"/>
        <v>18161812.859999999</v>
      </c>
      <c r="J20" s="391"/>
      <c r="K20" s="391">
        <v>18161812.859999999</v>
      </c>
      <c r="L20" s="391">
        <v>10434858.75</v>
      </c>
    </row>
    <row r="21" spans="1:16" ht="12" customHeight="1" x14ac:dyDescent="0.25">
      <c r="A21" s="646" t="s">
        <v>14</v>
      </c>
      <c r="B21" s="646"/>
      <c r="C21" s="646"/>
      <c r="D21" s="646"/>
      <c r="E21" s="646"/>
      <c r="F21" s="646"/>
      <c r="G21" s="7"/>
      <c r="H21" s="8">
        <v>1258511773</v>
      </c>
      <c r="I21" s="391">
        <f>+ROUND((H21/$M$1),2)</f>
        <v>167033216.94</v>
      </c>
      <c r="J21" s="391"/>
      <c r="K21" s="391">
        <v>167033216.94</v>
      </c>
      <c r="L21" s="391">
        <v>227104108.65000001</v>
      </c>
    </row>
    <row r="22" spans="1:16" ht="12" customHeight="1" x14ac:dyDescent="0.25">
      <c r="A22" s="646" t="s">
        <v>15</v>
      </c>
      <c r="B22" s="646"/>
      <c r="C22" s="646"/>
      <c r="D22" s="646"/>
      <c r="E22" s="646"/>
      <c r="F22" s="646"/>
      <c r="G22" s="7"/>
      <c r="H22" s="8">
        <v>342793</v>
      </c>
      <c r="I22" s="391">
        <f t="shared" si="0"/>
        <v>45496.45</v>
      </c>
      <c r="J22" s="391"/>
      <c r="K22" s="391">
        <v>45496.45</v>
      </c>
      <c r="L22" s="391">
        <v>45496.51</v>
      </c>
    </row>
    <row r="23" spans="1:16" ht="12" customHeight="1" x14ac:dyDescent="0.25">
      <c r="A23" s="646" t="s">
        <v>16</v>
      </c>
      <c r="B23" s="646"/>
      <c r="C23" s="646"/>
      <c r="D23" s="646"/>
      <c r="E23" s="646"/>
      <c r="F23" s="646"/>
      <c r="G23" s="7"/>
      <c r="H23" s="8">
        <v>27244627</v>
      </c>
      <c r="I23" s="391">
        <f t="shared" si="0"/>
        <v>3615983.41</v>
      </c>
      <c r="J23" s="391">
        <v>2660256.63</v>
      </c>
      <c r="K23" s="391">
        <f>3615983.41+2660256.63</f>
        <v>6276240.04</v>
      </c>
      <c r="L23" s="391">
        <v>6565800</v>
      </c>
      <c r="M23" s="44" t="s">
        <v>1129</v>
      </c>
      <c r="N23" s="44"/>
      <c r="O23" s="44"/>
      <c r="P23" s="44"/>
    </row>
    <row r="24" spans="1:16" ht="12" customHeight="1" x14ac:dyDescent="0.25">
      <c r="A24" s="668" t="s">
        <v>140</v>
      </c>
      <c r="B24" s="668"/>
      <c r="C24" s="668"/>
      <c r="D24" s="668"/>
      <c r="E24" s="668"/>
      <c r="F24" s="668"/>
      <c r="G24" s="36"/>
      <c r="H24" s="35">
        <f>SUM(H25:H34)</f>
        <v>11368639976</v>
      </c>
      <c r="I24" s="404">
        <f>SUM(I25:I34)</f>
        <v>1508877825.4699998</v>
      </c>
      <c r="J24" s="404"/>
      <c r="K24" s="404">
        <f>SUM(K25:K34)</f>
        <v>1508877825.4699998</v>
      </c>
      <c r="L24" s="404">
        <f>SUM(L25:L34)</f>
        <v>1580297344.3</v>
      </c>
    </row>
    <row r="25" spans="1:16" ht="12" customHeight="1" x14ac:dyDescent="0.25">
      <c r="A25" s="646" t="s">
        <v>17</v>
      </c>
      <c r="B25" s="646"/>
      <c r="C25" s="646"/>
      <c r="D25" s="646"/>
      <c r="E25" s="646"/>
      <c r="F25" s="646"/>
      <c r="G25" s="7" t="s">
        <v>771</v>
      </c>
      <c r="H25" s="8">
        <v>8190704314</v>
      </c>
      <c r="I25" s="391">
        <f t="shared" ref="I25:I34" si="1">+ROUND((H25/$M$1),2)</f>
        <v>1087093279.45</v>
      </c>
      <c r="J25" s="391"/>
      <c r="K25" s="391">
        <v>1087093279.45</v>
      </c>
      <c r="L25" s="391">
        <v>1182243112.54</v>
      </c>
    </row>
    <row r="26" spans="1:16" ht="12" customHeight="1" x14ac:dyDescent="0.25">
      <c r="A26" s="646" t="s">
        <v>18</v>
      </c>
      <c r="B26" s="646"/>
      <c r="C26" s="646"/>
      <c r="D26" s="646"/>
      <c r="E26" s="646"/>
      <c r="F26" s="646"/>
      <c r="G26" s="7"/>
      <c r="H26" s="8"/>
      <c r="I26" s="391"/>
      <c r="J26" s="391"/>
      <c r="K26" s="391"/>
      <c r="L26" s="391"/>
    </row>
    <row r="27" spans="1:16" ht="12" customHeight="1" x14ac:dyDescent="0.25">
      <c r="A27" s="646" t="s">
        <v>19</v>
      </c>
      <c r="B27" s="646"/>
      <c r="C27" s="646"/>
      <c r="D27" s="646"/>
      <c r="E27" s="646"/>
      <c r="F27" s="646"/>
      <c r="G27" s="7" t="s">
        <v>772</v>
      </c>
      <c r="H27" s="8">
        <v>921133582</v>
      </c>
      <c r="I27" s="391">
        <f t="shared" si="1"/>
        <v>122255435.93000001</v>
      </c>
      <c r="J27" s="391"/>
      <c r="K27" s="391">
        <v>122255435.93000001</v>
      </c>
      <c r="L27" s="391">
        <v>93733426.129999995</v>
      </c>
    </row>
    <row r="28" spans="1:16" ht="12" customHeight="1" x14ac:dyDescent="0.25">
      <c r="A28" s="669" t="s">
        <v>129</v>
      </c>
      <c r="B28" s="669"/>
      <c r="C28" s="669"/>
      <c r="D28" s="669"/>
      <c r="E28" s="669"/>
      <c r="F28" s="669"/>
      <c r="G28" s="7"/>
      <c r="H28" s="8">
        <v>1914586088</v>
      </c>
      <c r="I28" s="391">
        <f t="shared" si="1"/>
        <v>254109242.55000001</v>
      </c>
      <c r="J28" s="391"/>
      <c r="K28" s="391">
        <v>254109242.55000001</v>
      </c>
      <c r="L28" s="391">
        <v>254109242.50999999</v>
      </c>
    </row>
    <row r="29" spans="1:16" ht="12" customHeight="1" x14ac:dyDescent="0.25">
      <c r="A29" s="669" t="s">
        <v>130</v>
      </c>
      <c r="B29" s="669"/>
      <c r="C29" s="669"/>
      <c r="D29" s="669"/>
      <c r="E29" s="669"/>
      <c r="F29" s="669"/>
      <c r="G29" s="7"/>
      <c r="H29" s="8"/>
      <c r="I29" s="391"/>
      <c r="J29" s="391"/>
      <c r="K29" s="391"/>
      <c r="L29" s="391"/>
    </row>
    <row r="30" spans="1:16" ht="12" customHeight="1" x14ac:dyDescent="0.25">
      <c r="A30" s="669" t="s">
        <v>131</v>
      </c>
      <c r="B30" s="669"/>
      <c r="C30" s="669"/>
      <c r="D30" s="669"/>
      <c r="E30" s="669"/>
      <c r="F30" s="669"/>
      <c r="G30" s="7"/>
      <c r="H30" s="8">
        <v>23398703</v>
      </c>
      <c r="I30" s="391">
        <f t="shared" si="1"/>
        <v>3105541.58</v>
      </c>
      <c r="J30" s="391"/>
      <c r="K30" s="391">
        <v>3105541.58</v>
      </c>
      <c r="L30" s="391">
        <v>5367492.29</v>
      </c>
    </row>
    <row r="31" spans="1:16" ht="12" customHeight="1" x14ac:dyDescent="0.25">
      <c r="A31" s="646" t="s">
        <v>20</v>
      </c>
      <c r="B31" s="646"/>
      <c r="C31" s="646"/>
      <c r="D31" s="646"/>
      <c r="E31" s="646"/>
      <c r="F31" s="646"/>
      <c r="G31" s="7"/>
      <c r="H31" s="8"/>
      <c r="I31" s="391"/>
      <c r="J31" s="391"/>
      <c r="K31" s="391"/>
      <c r="L31" s="391"/>
    </row>
    <row r="32" spans="1:16" ht="12" customHeight="1" x14ac:dyDescent="0.25">
      <c r="A32" s="646" t="s">
        <v>21</v>
      </c>
      <c r="B32" s="646"/>
      <c r="C32" s="646"/>
      <c r="D32" s="646"/>
      <c r="E32" s="646"/>
      <c r="F32" s="646"/>
      <c r="G32" s="7"/>
      <c r="H32" s="8">
        <v>74502</v>
      </c>
      <c r="I32" s="391">
        <f t="shared" si="1"/>
        <v>9888.11</v>
      </c>
      <c r="J32" s="391"/>
      <c r="K32" s="391">
        <v>9888.11</v>
      </c>
      <c r="L32" s="391">
        <v>6242.82</v>
      </c>
    </row>
    <row r="33" spans="1:23" ht="12" customHeight="1" x14ac:dyDescent="0.25">
      <c r="A33" s="646" t="s">
        <v>22</v>
      </c>
      <c r="B33" s="646"/>
      <c r="C33" s="646"/>
      <c r="D33" s="646"/>
      <c r="E33" s="646"/>
      <c r="F33" s="646"/>
      <c r="G33" s="7"/>
      <c r="H33" s="8"/>
      <c r="I33" s="391"/>
      <c r="J33" s="391"/>
      <c r="K33" s="391"/>
      <c r="L33" s="391"/>
    </row>
    <row r="34" spans="1:23" ht="12" customHeight="1" x14ac:dyDescent="0.25">
      <c r="A34" s="646" t="s">
        <v>23</v>
      </c>
      <c r="B34" s="646"/>
      <c r="C34" s="646"/>
      <c r="D34" s="646"/>
      <c r="E34" s="646"/>
      <c r="F34" s="646"/>
      <c r="G34" s="7" t="s">
        <v>773</v>
      </c>
      <c r="H34" s="8">
        <v>318742787</v>
      </c>
      <c r="I34" s="391">
        <f t="shared" si="1"/>
        <v>42304437.850000001</v>
      </c>
      <c r="J34" s="391"/>
      <c r="K34" s="391">
        <v>42304437.850000001</v>
      </c>
      <c r="L34" s="391">
        <v>44837828.009999998</v>
      </c>
    </row>
    <row r="35" spans="1:23" ht="12" customHeight="1" x14ac:dyDescent="0.25">
      <c r="A35" s="668" t="s">
        <v>139</v>
      </c>
      <c r="B35" s="668"/>
      <c r="C35" s="668"/>
      <c r="D35" s="668"/>
      <c r="E35" s="668"/>
      <c r="F35" s="668"/>
      <c r="G35" s="36"/>
      <c r="H35" s="35">
        <f>SUM(H36:H39)</f>
        <v>15708712070</v>
      </c>
      <c r="I35" s="404">
        <f>SUM(I36:I39)</f>
        <v>2084904382.51</v>
      </c>
      <c r="J35" s="404"/>
      <c r="K35" s="404">
        <f>SUM(K36:K39)</f>
        <v>2084904382.51</v>
      </c>
      <c r="L35" s="404">
        <f>SUM(L36:L39)</f>
        <v>2057383323.77</v>
      </c>
    </row>
    <row r="36" spans="1:23" ht="12" customHeight="1" x14ac:dyDescent="0.25">
      <c r="A36" s="646" t="s">
        <v>24</v>
      </c>
      <c r="B36" s="646"/>
      <c r="C36" s="646"/>
      <c r="D36" s="646"/>
      <c r="E36" s="646"/>
      <c r="F36" s="646"/>
      <c r="G36" s="7" t="s">
        <v>774</v>
      </c>
      <c r="H36" s="8">
        <v>15708712070</v>
      </c>
      <c r="I36" s="391">
        <f>+ROUND((H36/$M$1),2)</f>
        <v>2084904382.51</v>
      </c>
      <c r="J36" s="391"/>
      <c r="K36" s="391">
        <v>2084904382.51</v>
      </c>
      <c r="L36" s="391">
        <v>2057383323.77</v>
      </c>
    </row>
    <row r="37" spans="1:23" ht="12" customHeight="1" x14ac:dyDescent="0.25">
      <c r="A37" s="646" t="s">
        <v>25</v>
      </c>
      <c r="B37" s="646"/>
      <c r="C37" s="646"/>
      <c r="D37" s="646"/>
      <c r="E37" s="646"/>
      <c r="F37" s="646"/>
      <c r="G37" s="7"/>
      <c r="H37" s="8"/>
      <c r="I37" s="391"/>
      <c r="J37" s="391"/>
      <c r="K37" s="391"/>
      <c r="L37" s="391"/>
    </row>
    <row r="38" spans="1:23" ht="12" customHeight="1" x14ac:dyDescent="0.25">
      <c r="A38" s="646" t="s">
        <v>26</v>
      </c>
      <c r="B38" s="646"/>
      <c r="C38" s="646"/>
      <c r="D38" s="646"/>
      <c r="E38" s="646"/>
      <c r="F38" s="646"/>
      <c r="G38" s="7"/>
      <c r="H38" s="8"/>
      <c r="I38" s="391"/>
      <c r="J38" s="391"/>
      <c r="K38" s="391"/>
      <c r="L38" s="391"/>
    </row>
    <row r="39" spans="1:23" ht="12" customHeight="1" x14ac:dyDescent="0.25">
      <c r="A39" s="646" t="s">
        <v>27</v>
      </c>
      <c r="B39" s="646"/>
      <c r="C39" s="646"/>
      <c r="D39" s="646"/>
      <c r="E39" s="646"/>
      <c r="F39" s="646"/>
      <c r="G39" s="7"/>
      <c r="H39" s="8"/>
      <c r="I39" s="391"/>
      <c r="J39" s="391"/>
      <c r="K39" s="391"/>
      <c r="L39" s="391"/>
      <c r="M39" s="12" t="s">
        <v>1132</v>
      </c>
      <c r="N39" s="12"/>
      <c r="O39" s="12"/>
      <c r="P39" s="12"/>
    </row>
    <row r="40" spans="1:23" ht="12" customHeight="1" x14ac:dyDescent="0.25">
      <c r="A40" s="668" t="s">
        <v>28</v>
      </c>
      <c r="B40" s="668"/>
      <c r="C40" s="668"/>
      <c r="D40" s="668"/>
      <c r="E40" s="668"/>
      <c r="F40" s="668"/>
      <c r="G40" s="36"/>
      <c r="H40" s="37">
        <f>1265250098-51744003-5538451</f>
        <v>1207967644</v>
      </c>
      <c r="I40" s="505">
        <f>+ROUND((H40/$M$1),2)</f>
        <v>160324858.19</v>
      </c>
      <c r="J40" s="505">
        <v>13737987.720000001</v>
      </c>
      <c r="K40" s="505">
        <f>160324858.19+13737987.72</f>
        <v>174062845.91</v>
      </c>
      <c r="L40" s="405">
        <f>168589709.07-735078.72+13737987.72-13737987.72</f>
        <v>167854630.34999999</v>
      </c>
      <c r="M40" s="527" t="s">
        <v>1026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2" customHeight="1" x14ac:dyDescent="0.25">
      <c r="A41" s="644" t="s">
        <v>138</v>
      </c>
      <c r="B41" s="644"/>
      <c r="C41" s="644"/>
      <c r="D41" s="644"/>
      <c r="E41" s="644"/>
      <c r="F41" s="644"/>
      <c r="G41" s="7"/>
      <c r="H41" s="23">
        <f>H42+H50+H57+H67</f>
        <v>12086673205</v>
      </c>
      <c r="I41" s="392">
        <f>I42+I50+I57+I67</f>
        <v>1604177212.1400001</v>
      </c>
      <c r="J41" s="392"/>
      <c r="K41" s="392">
        <f>K42+K50+K57+K67</f>
        <v>1604177212.1400001</v>
      </c>
      <c r="L41" s="392">
        <f>L42+L50+L57+L67</f>
        <v>2117808815.3900001</v>
      </c>
    </row>
    <row r="42" spans="1:23" ht="12" customHeight="1" x14ac:dyDescent="0.25">
      <c r="A42" s="668" t="s">
        <v>137</v>
      </c>
      <c r="B42" s="668"/>
      <c r="C42" s="668"/>
      <c r="D42" s="668"/>
      <c r="E42" s="668"/>
      <c r="F42" s="668"/>
      <c r="G42" s="7" t="s">
        <v>775</v>
      </c>
      <c r="H42" s="35">
        <f>H43+H44+H45+H46+H47+H48+H49</f>
        <v>2792510727</v>
      </c>
      <c r="I42" s="404">
        <f>I43+I44+I45+I46+I47+I48+I49</f>
        <v>370629866.20999998</v>
      </c>
      <c r="J42" s="404"/>
      <c r="K42" s="404">
        <f>K43+K44+K45+K46+K47+K48+K49</f>
        <v>370629866.20999998</v>
      </c>
      <c r="L42" s="404">
        <f>L43+L44+L45+L46+L47+L48+L49</f>
        <v>246457208.41999999</v>
      </c>
    </row>
    <row r="43" spans="1:23" ht="12" customHeight="1" x14ac:dyDescent="0.25">
      <c r="A43" s="646" t="s">
        <v>29</v>
      </c>
      <c r="B43" s="646"/>
      <c r="C43" s="646"/>
      <c r="D43" s="646"/>
      <c r="E43" s="646"/>
      <c r="F43" s="646"/>
      <c r="G43" s="7"/>
      <c r="H43" s="8">
        <v>6909940</v>
      </c>
      <c r="I43" s="391">
        <f>+ROUND((H43/$M$1),2)</f>
        <v>917106.64</v>
      </c>
      <c r="J43" s="391"/>
      <c r="K43" s="391">
        <v>917106.64</v>
      </c>
      <c r="L43" s="391">
        <v>572280.63</v>
      </c>
    </row>
    <row r="44" spans="1:23" ht="12" customHeight="1" x14ac:dyDescent="0.25">
      <c r="A44" s="646" t="s">
        <v>30</v>
      </c>
      <c r="B44" s="646"/>
      <c r="C44" s="646"/>
      <c r="D44" s="646"/>
      <c r="E44" s="646"/>
      <c r="F44" s="646"/>
      <c r="G44" s="7"/>
      <c r="H44" s="8"/>
      <c r="I44" s="391"/>
      <c r="J44" s="391"/>
      <c r="K44" s="391"/>
      <c r="L44" s="391"/>
    </row>
    <row r="45" spans="1:23" ht="12" customHeight="1" x14ac:dyDescent="0.25">
      <c r="A45" s="646" t="s">
        <v>31</v>
      </c>
      <c r="B45" s="646"/>
      <c r="C45" s="646"/>
      <c r="D45" s="646"/>
      <c r="E45" s="646"/>
      <c r="F45" s="646"/>
      <c r="G45" s="7"/>
      <c r="H45" s="8"/>
      <c r="I45" s="391"/>
      <c r="J45" s="391"/>
      <c r="K45" s="391"/>
      <c r="L45" s="391"/>
    </row>
    <row r="46" spans="1:23" ht="12" customHeight="1" x14ac:dyDescent="0.25">
      <c r="A46" s="646" t="s">
        <v>32</v>
      </c>
      <c r="B46" s="646"/>
      <c r="C46" s="646"/>
      <c r="D46" s="646"/>
      <c r="E46" s="646"/>
      <c r="F46" s="646"/>
      <c r="G46" s="7"/>
      <c r="H46" s="8">
        <v>2785600787</v>
      </c>
      <c r="I46" s="391">
        <f>+ROUND((H46/$M$1),2)</f>
        <v>369712759.56999999</v>
      </c>
      <c r="J46" s="391"/>
      <c r="K46" s="391">
        <v>369712759.56999999</v>
      </c>
      <c r="L46" s="391">
        <v>245884927.78999999</v>
      </c>
    </row>
    <row r="47" spans="1:23" ht="12" customHeight="1" x14ac:dyDescent="0.25">
      <c r="A47" s="646" t="s">
        <v>33</v>
      </c>
      <c r="B47" s="646"/>
      <c r="C47" s="646"/>
      <c r="D47" s="646"/>
      <c r="E47" s="646"/>
      <c r="F47" s="646"/>
      <c r="G47" s="7"/>
      <c r="H47" s="8"/>
      <c r="I47" s="391"/>
      <c r="J47" s="391"/>
      <c r="K47" s="391"/>
      <c r="L47" s="391"/>
    </row>
    <row r="48" spans="1:23" ht="12" customHeight="1" x14ac:dyDescent="0.25">
      <c r="A48" s="646" t="s">
        <v>34</v>
      </c>
      <c r="B48" s="646"/>
      <c r="C48" s="646"/>
      <c r="D48" s="646"/>
      <c r="E48" s="646"/>
      <c r="F48" s="646"/>
      <c r="G48" s="7"/>
      <c r="H48" s="8"/>
      <c r="I48" s="391"/>
      <c r="J48" s="391"/>
      <c r="K48" s="391"/>
      <c r="L48" s="391"/>
    </row>
    <row r="49" spans="1:23" ht="12" customHeight="1" x14ac:dyDescent="0.25">
      <c r="A49" s="646" t="s">
        <v>35</v>
      </c>
      <c r="B49" s="646"/>
      <c r="C49" s="646"/>
      <c r="D49" s="646"/>
      <c r="E49" s="646"/>
      <c r="F49" s="646"/>
      <c r="G49" s="7"/>
      <c r="H49" s="8"/>
      <c r="I49" s="391"/>
      <c r="J49" s="391"/>
      <c r="K49" s="391"/>
      <c r="L49" s="391"/>
    </row>
    <row r="50" spans="1:23" ht="12" customHeight="1" x14ac:dyDescent="0.25">
      <c r="A50" s="668" t="s">
        <v>136</v>
      </c>
      <c r="B50" s="668"/>
      <c r="C50" s="668"/>
      <c r="D50" s="668"/>
      <c r="E50" s="668"/>
      <c r="F50" s="668"/>
      <c r="G50" s="36"/>
      <c r="H50" s="35">
        <f>SUM(H51:H56)</f>
        <v>7755494848</v>
      </c>
      <c r="I50" s="404">
        <f>SUM(I51:I56)</f>
        <v>1029331056.8700001</v>
      </c>
      <c r="J50" s="404"/>
      <c r="K50" s="404">
        <f>SUM(K51:K56)</f>
        <v>1029331056.8700001</v>
      </c>
      <c r="L50" s="404">
        <f>SUM(L51:L56)</f>
        <v>1602244646.76</v>
      </c>
    </row>
    <row r="51" spans="1:23" ht="12" customHeight="1" x14ac:dyDescent="0.25">
      <c r="A51" s="646" t="s">
        <v>36</v>
      </c>
      <c r="B51" s="646"/>
      <c r="C51" s="646"/>
      <c r="D51" s="646"/>
      <c r="E51" s="646"/>
      <c r="F51" s="646"/>
      <c r="G51" s="7" t="s">
        <v>776</v>
      </c>
      <c r="H51" s="8">
        <v>7429282878</v>
      </c>
      <c r="I51" s="391">
        <f t="shared" ref="I51:I56" si="2">+ROUND((H51/$M$1),2)</f>
        <v>986035288.07000005</v>
      </c>
      <c r="J51" s="391"/>
      <c r="K51" s="391">
        <v>986035288.07000005</v>
      </c>
      <c r="L51" s="391">
        <v>943378671.61000001</v>
      </c>
    </row>
    <row r="52" spans="1:23" ht="12" customHeight="1" x14ac:dyDescent="0.25">
      <c r="A52" s="646" t="s">
        <v>37</v>
      </c>
      <c r="B52" s="646"/>
      <c r="C52" s="646"/>
      <c r="D52" s="646"/>
      <c r="E52" s="646"/>
      <c r="F52" s="646"/>
      <c r="G52" s="7"/>
      <c r="H52" s="8">
        <v>169733</v>
      </c>
      <c r="I52" s="391">
        <f t="shared" si="2"/>
        <v>22527.439999999999</v>
      </c>
      <c r="J52" s="391"/>
      <c r="K52" s="391">
        <v>22527.439999999999</v>
      </c>
      <c r="L52" s="391">
        <v>138849.38</v>
      </c>
    </row>
    <row r="53" spans="1:23" ht="12" customHeight="1" x14ac:dyDescent="0.25">
      <c r="A53" s="646" t="s">
        <v>38</v>
      </c>
      <c r="B53" s="646"/>
      <c r="C53" s="646"/>
      <c r="D53" s="646"/>
      <c r="E53" s="646"/>
      <c r="F53" s="646"/>
      <c r="G53" s="7" t="s">
        <v>777</v>
      </c>
      <c r="H53" s="8">
        <v>128185233</v>
      </c>
      <c r="I53" s="391">
        <f t="shared" si="2"/>
        <v>17013104.120000001</v>
      </c>
      <c r="J53" s="391"/>
      <c r="K53" s="391">
        <v>17013104.120000001</v>
      </c>
      <c r="L53" s="391">
        <v>18965780.140000001</v>
      </c>
    </row>
    <row r="54" spans="1:23" ht="12" customHeight="1" x14ac:dyDescent="0.25">
      <c r="A54" s="646" t="s">
        <v>39</v>
      </c>
      <c r="B54" s="646"/>
      <c r="C54" s="646"/>
      <c r="D54" s="646"/>
      <c r="E54" s="646"/>
      <c r="F54" s="646"/>
      <c r="G54" s="7"/>
      <c r="H54" s="8">
        <v>179832</v>
      </c>
      <c r="I54" s="391">
        <f t="shared" si="2"/>
        <v>23867.81</v>
      </c>
      <c r="J54" s="391"/>
      <c r="K54" s="391">
        <v>23867.81</v>
      </c>
      <c r="L54" s="391">
        <v>33199.33</v>
      </c>
    </row>
    <row r="55" spans="1:23" ht="12" customHeight="1" x14ac:dyDescent="0.25">
      <c r="A55" s="646" t="s">
        <v>40</v>
      </c>
      <c r="B55" s="646"/>
      <c r="C55" s="646"/>
      <c r="D55" s="646"/>
      <c r="E55" s="646"/>
      <c r="F55" s="646"/>
      <c r="G55" s="7" t="s">
        <v>778</v>
      </c>
      <c r="H55" s="8">
        <v>29178271</v>
      </c>
      <c r="I55" s="391">
        <f t="shared" si="2"/>
        <v>3872622.07</v>
      </c>
      <c r="J55" s="391"/>
      <c r="K55" s="391">
        <v>3872622.07</v>
      </c>
      <c r="L55" s="391">
        <v>547075456.63999999</v>
      </c>
      <c r="M55" s="387"/>
      <c r="N55" s="377"/>
      <c r="O55" s="377"/>
      <c r="P55" s="377"/>
      <c r="Q55" s="377"/>
      <c r="R55" s="377"/>
      <c r="S55" s="377"/>
      <c r="T55" s="377"/>
      <c r="U55" s="377"/>
    </row>
    <row r="56" spans="1:23" ht="12" customHeight="1" x14ac:dyDescent="0.25">
      <c r="A56" s="646" t="s">
        <v>41</v>
      </c>
      <c r="B56" s="646"/>
      <c r="C56" s="646"/>
      <c r="D56" s="646"/>
      <c r="E56" s="646"/>
      <c r="F56" s="646"/>
      <c r="G56" s="7" t="s">
        <v>779</v>
      </c>
      <c r="H56" s="8">
        <v>168498901</v>
      </c>
      <c r="I56" s="391">
        <f t="shared" si="2"/>
        <v>22363647.359999999</v>
      </c>
      <c r="J56" s="391"/>
      <c r="K56" s="391">
        <v>22363647.359999999</v>
      </c>
      <c r="L56" s="391">
        <v>92652689.659999996</v>
      </c>
      <c r="M56" s="527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1:23" ht="12" customHeight="1" x14ac:dyDescent="0.25">
      <c r="A57" s="668" t="s">
        <v>135</v>
      </c>
      <c r="B57" s="668"/>
      <c r="C57" s="668"/>
      <c r="D57" s="668"/>
      <c r="E57" s="668"/>
      <c r="F57" s="668"/>
      <c r="G57" s="36"/>
      <c r="H57" s="35">
        <f>SUM(H58:H66)</f>
        <v>318214445</v>
      </c>
      <c r="I57" s="404">
        <f>SUM(I58:I66)</f>
        <v>42234314.810000002</v>
      </c>
      <c r="J57" s="404"/>
      <c r="K57" s="404">
        <f>SUM(K58:K66)</f>
        <v>42234314.810000002</v>
      </c>
      <c r="L57" s="404">
        <f>SUM(L58:L66)</f>
        <v>19250170</v>
      </c>
    </row>
    <row r="58" spans="1:23" ht="12" customHeight="1" x14ac:dyDescent="0.25">
      <c r="A58" s="646" t="s">
        <v>17</v>
      </c>
      <c r="B58" s="646"/>
      <c r="C58" s="646"/>
      <c r="D58" s="646"/>
      <c r="E58" s="646"/>
      <c r="F58" s="646"/>
      <c r="G58" s="7"/>
      <c r="H58" s="8"/>
      <c r="I58" s="391"/>
      <c r="J58" s="391"/>
      <c r="K58" s="391"/>
      <c r="L58" s="391"/>
    </row>
    <row r="59" spans="1:23" ht="12" customHeight="1" x14ac:dyDescent="0.25">
      <c r="A59" s="646" t="s">
        <v>18</v>
      </c>
      <c r="B59" s="646"/>
      <c r="C59" s="646"/>
      <c r="D59" s="646"/>
      <c r="E59" s="646"/>
      <c r="F59" s="646"/>
      <c r="G59" s="7"/>
      <c r="H59" s="8"/>
      <c r="I59" s="391"/>
      <c r="J59" s="391"/>
      <c r="K59" s="391"/>
      <c r="L59" s="391"/>
    </row>
    <row r="60" spans="1:23" ht="12" customHeight="1" x14ac:dyDescent="0.25">
      <c r="A60" s="646" t="s">
        <v>19</v>
      </c>
      <c r="B60" s="646"/>
      <c r="C60" s="646"/>
      <c r="D60" s="646"/>
      <c r="E60" s="646"/>
      <c r="F60" s="646"/>
      <c r="G60" s="7"/>
      <c r="H60" s="8">
        <v>252390848</v>
      </c>
      <c r="I60" s="391">
        <f>+ROUND((H60/$M$1),2)</f>
        <v>33498022.16</v>
      </c>
      <c r="J60" s="391"/>
      <c r="K60" s="391">
        <v>33498022.16</v>
      </c>
      <c r="L60" s="391">
        <v>10160628.48</v>
      </c>
    </row>
    <row r="61" spans="1:23" ht="12" customHeight="1" x14ac:dyDescent="0.25">
      <c r="A61" s="669" t="s">
        <v>132</v>
      </c>
      <c r="B61" s="669"/>
      <c r="C61" s="669"/>
      <c r="D61" s="669"/>
      <c r="E61" s="669"/>
      <c r="F61" s="669"/>
      <c r="G61" s="7"/>
      <c r="H61" s="8"/>
      <c r="I61" s="391"/>
      <c r="J61" s="391"/>
      <c r="K61" s="391"/>
      <c r="L61" s="391"/>
    </row>
    <row r="62" spans="1:23" ht="12" customHeight="1" x14ac:dyDescent="0.25">
      <c r="A62" s="669" t="s">
        <v>130</v>
      </c>
      <c r="B62" s="669"/>
      <c r="C62" s="669"/>
      <c r="D62" s="669"/>
      <c r="E62" s="669"/>
      <c r="F62" s="669"/>
      <c r="G62" s="7"/>
      <c r="H62" s="8"/>
      <c r="I62" s="391"/>
      <c r="J62" s="391"/>
      <c r="K62" s="391"/>
      <c r="L62" s="391"/>
    </row>
    <row r="63" spans="1:23" ht="12" customHeight="1" x14ac:dyDescent="0.25">
      <c r="A63" s="669" t="s">
        <v>131</v>
      </c>
      <c r="B63" s="669"/>
      <c r="C63" s="669"/>
      <c r="D63" s="669"/>
      <c r="E63" s="669"/>
      <c r="F63" s="669"/>
      <c r="G63" s="7"/>
      <c r="H63" s="8"/>
      <c r="I63" s="391"/>
      <c r="J63" s="391"/>
      <c r="K63" s="391"/>
      <c r="L63" s="391"/>
    </row>
    <row r="64" spans="1:23" ht="12" customHeight="1" x14ac:dyDescent="0.25">
      <c r="A64" s="646" t="s">
        <v>20</v>
      </c>
      <c r="B64" s="646"/>
      <c r="C64" s="646"/>
      <c r="D64" s="646"/>
      <c r="E64" s="646"/>
      <c r="F64" s="646"/>
      <c r="G64" s="7"/>
      <c r="H64" s="8"/>
      <c r="I64" s="391"/>
      <c r="J64" s="391"/>
      <c r="K64" s="391"/>
      <c r="L64" s="391"/>
    </row>
    <row r="65" spans="1:18" ht="12" customHeight="1" x14ac:dyDescent="0.25">
      <c r="A65" s="646" t="s">
        <v>21</v>
      </c>
      <c r="B65" s="646"/>
      <c r="C65" s="646"/>
      <c r="D65" s="646"/>
      <c r="E65" s="646"/>
      <c r="F65" s="646"/>
      <c r="G65" s="7" t="s">
        <v>780</v>
      </c>
      <c r="H65" s="8">
        <v>65823597</v>
      </c>
      <c r="I65" s="391">
        <f>+ROUND((H65/$M$1),2)</f>
        <v>8736292.6500000004</v>
      </c>
      <c r="J65" s="391"/>
      <c r="K65" s="391">
        <v>8736292.6500000004</v>
      </c>
      <c r="L65" s="391">
        <v>9089541.5199999996</v>
      </c>
    </row>
    <row r="66" spans="1:18" ht="12" customHeight="1" x14ac:dyDescent="0.25">
      <c r="A66" s="646" t="s">
        <v>42</v>
      </c>
      <c r="B66" s="646"/>
      <c r="C66" s="646"/>
      <c r="D66" s="646"/>
      <c r="E66" s="646"/>
      <c r="F66" s="646"/>
      <c r="G66" s="7"/>
      <c r="H66" s="8"/>
      <c r="I66" s="391"/>
      <c r="J66" s="391"/>
      <c r="K66" s="391"/>
      <c r="L66" s="391"/>
      <c r="M66" s="387"/>
      <c r="N66" s="377"/>
      <c r="O66" s="377"/>
      <c r="P66" s="377"/>
      <c r="Q66" s="377"/>
      <c r="R66" s="377"/>
    </row>
    <row r="67" spans="1:18" ht="12" customHeight="1" x14ac:dyDescent="0.25">
      <c r="A67" s="668" t="s">
        <v>43</v>
      </c>
      <c r="B67" s="668"/>
      <c r="C67" s="668"/>
      <c r="D67" s="668"/>
      <c r="E67" s="668"/>
      <c r="F67" s="668"/>
      <c r="G67" s="7" t="s">
        <v>781</v>
      </c>
      <c r="H67" s="37">
        <v>1220453185</v>
      </c>
      <c r="I67" s="405">
        <f>+ROUND((H67/$M$1),2)</f>
        <v>161981974.25</v>
      </c>
      <c r="J67" s="405"/>
      <c r="K67" s="405">
        <v>161981974.25</v>
      </c>
      <c r="L67" s="405">
        <v>249856790.21000001</v>
      </c>
    </row>
    <row r="68" spans="1:18" ht="12" customHeight="1" x14ac:dyDescent="0.25">
      <c r="A68" s="644" t="s">
        <v>133</v>
      </c>
      <c r="B68" s="644"/>
      <c r="C68" s="644"/>
      <c r="D68" s="644"/>
      <c r="E68" s="644"/>
      <c r="F68" s="644"/>
      <c r="G68" s="24"/>
      <c r="H68" s="25">
        <v>43214793</v>
      </c>
      <c r="I68" s="503">
        <f>+ROUND((H68/$M$1),2)-0.01</f>
        <v>5735588.6800000006</v>
      </c>
      <c r="J68" s="503"/>
      <c r="K68" s="503">
        <v>5735588.6799999997</v>
      </c>
      <c r="L68" s="396">
        <v>3063185.96</v>
      </c>
      <c r="M68" s="507" t="s">
        <v>1019</v>
      </c>
    </row>
    <row r="69" spans="1:18" ht="12" customHeight="1" x14ac:dyDescent="0.25">
      <c r="A69" s="644" t="s">
        <v>134</v>
      </c>
      <c r="B69" s="644"/>
      <c r="C69" s="644"/>
      <c r="D69" s="644"/>
      <c r="E69" s="644"/>
      <c r="F69" s="644"/>
      <c r="G69" s="24"/>
      <c r="H69" s="23">
        <f>H68+H41+H6+H5</f>
        <v>42465972608</v>
      </c>
      <c r="I69" s="392">
        <f>I68+I41+I6+I5</f>
        <v>5636203146.5900002</v>
      </c>
      <c r="J69" s="392">
        <f>J16+J23+J40</f>
        <v>13737987.720000001</v>
      </c>
      <c r="K69" s="392">
        <f>K68+K41+K6+K5</f>
        <v>5649941134.3099995</v>
      </c>
      <c r="L69" s="392">
        <f>L68+L41+L6+L5</f>
        <v>6261801599.4399996</v>
      </c>
      <c r="M69" s="410">
        <f>+ROUND((H69/M1),2)</f>
        <v>5636203146.5900002</v>
      </c>
    </row>
    <row r="70" spans="1:18" ht="12" customHeight="1" x14ac:dyDescent="0.25">
      <c r="A70" s="673" t="s">
        <v>44</v>
      </c>
      <c r="B70" s="673"/>
      <c r="C70" s="673"/>
      <c r="D70" s="673"/>
      <c r="E70" s="673"/>
      <c r="F70" s="673"/>
      <c r="G70" s="9"/>
      <c r="H70" s="39">
        <v>3741460513</v>
      </c>
      <c r="I70" s="407">
        <f>+ROUND((H70/$M$1),2)</f>
        <v>496577146.86000001</v>
      </c>
      <c r="J70" s="407"/>
      <c r="K70" s="407">
        <v>496577146.86000001</v>
      </c>
      <c r="L70" s="407">
        <v>1278978061.9300001</v>
      </c>
      <c r="M70" s="410">
        <f>H70/M1</f>
        <v>496577146.85778749</v>
      </c>
    </row>
    <row r="71" spans="1:18" ht="3.75" customHeight="1" x14ac:dyDescent="0.25">
      <c r="A71" s="41"/>
      <c r="B71" s="41"/>
      <c r="C71" s="41"/>
      <c r="D71" s="41"/>
      <c r="E71" s="41"/>
      <c r="F71" s="41"/>
      <c r="G71" s="42"/>
      <c r="H71" s="43"/>
      <c r="I71" s="506"/>
      <c r="J71" s="506"/>
      <c r="K71" s="506"/>
      <c r="L71" s="43"/>
    </row>
    <row r="72" spans="1:18" ht="30.75" customHeight="1" x14ac:dyDescent="0.25">
      <c r="A72" s="670" t="s">
        <v>0</v>
      </c>
      <c r="B72" s="670"/>
      <c r="C72" s="670"/>
      <c r="D72" s="670"/>
      <c r="E72" s="670"/>
      <c r="F72" s="670"/>
      <c r="G72" s="40" t="s">
        <v>144</v>
      </c>
      <c r="H72" s="40" t="str">
        <f>H3</f>
        <v>31.12.2022.</v>
      </c>
      <c r="I72" s="502" t="str">
        <f>I3</f>
        <v>31.12.2022.</v>
      </c>
      <c r="J72" s="608"/>
      <c r="K72" s="597" t="str">
        <f>K3</f>
        <v>31.12.2022. prepravljeno</v>
      </c>
      <c r="L72" s="40" t="str">
        <f>L3</f>
        <v>31.12.2023.</v>
      </c>
    </row>
    <row r="73" spans="1:18" ht="18" customHeight="1" x14ac:dyDescent="0.25">
      <c r="A73" s="676" t="s">
        <v>45</v>
      </c>
      <c r="B73" s="677"/>
      <c r="C73" s="677"/>
      <c r="D73" s="677"/>
      <c r="E73" s="677"/>
      <c r="F73" s="677"/>
      <c r="G73" s="677"/>
      <c r="H73" s="677"/>
      <c r="I73" s="677"/>
      <c r="J73" s="677"/>
      <c r="K73" s="677"/>
      <c r="L73" s="677"/>
    </row>
    <row r="74" spans="1:18" ht="12" customHeight="1" x14ac:dyDescent="0.25">
      <c r="A74" s="664" t="s">
        <v>145</v>
      </c>
      <c r="B74" s="664"/>
      <c r="C74" s="664"/>
      <c r="D74" s="664"/>
      <c r="E74" s="664"/>
      <c r="F74" s="664"/>
      <c r="G74" s="26"/>
      <c r="H74" s="27">
        <f>H75+H76+H77+H83+H84+H90+H93+H96</f>
        <v>22494352474</v>
      </c>
      <c r="I74" s="408">
        <f>I75+I76+I77+I83+I84+I90+I93+I96</f>
        <v>2985513633.8200002</v>
      </c>
      <c r="J74" s="408"/>
      <c r="K74" s="408">
        <f>K75+K76+K77+K83+K84+K90+K93+K96</f>
        <v>2922929467.5400004</v>
      </c>
      <c r="L74" s="408">
        <f>L75+L76+L77+L83+L84+L90+L93+L96</f>
        <v>2877245089.2999997</v>
      </c>
    </row>
    <row r="75" spans="1:18" ht="12" customHeight="1" x14ac:dyDescent="0.25">
      <c r="A75" s="668" t="s">
        <v>46</v>
      </c>
      <c r="B75" s="668"/>
      <c r="C75" s="668"/>
      <c r="D75" s="668"/>
      <c r="E75" s="668"/>
      <c r="F75" s="668"/>
      <c r="G75" s="7" t="s">
        <v>782</v>
      </c>
      <c r="H75" s="37">
        <v>19792159200</v>
      </c>
      <c r="I75" s="405">
        <f>+ROUND((H75/$M$1),2)</f>
        <v>2626870953.6100001</v>
      </c>
      <c r="J75" s="405"/>
      <c r="K75" s="405">
        <v>2626870953.6100001</v>
      </c>
      <c r="L75" s="405">
        <v>2627958916</v>
      </c>
    </row>
    <row r="76" spans="1:18" ht="12" customHeight="1" x14ac:dyDescent="0.25">
      <c r="A76" s="668" t="s">
        <v>47</v>
      </c>
      <c r="B76" s="668"/>
      <c r="C76" s="668"/>
      <c r="D76" s="668"/>
      <c r="E76" s="668"/>
      <c r="F76" s="668"/>
      <c r="G76" s="36"/>
      <c r="H76" s="37"/>
      <c r="I76" s="405"/>
      <c r="J76" s="405"/>
      <c r="K76" s="405"/>
      <c r="L76" s="405"/>
    </row>
    <row r="77" spans="1:18" ht="12" customHeight="1" x14ac:dyDescent="0.25">
      <c r="A77" s="668" t="s">
        <v>146</v>
      </c>
      <c r="B77" s="668"/>
      <c r="C77" s="668"/>
      <c r="D77" s="668"/>
      <c r="E77" s="668"/>
      <c r="F77" s="668"/>
      <c r="G77" s="36"/>
      <c r="H77" s="35">
        <f>SUM(H78:H82)</f>
        <v>666121807</v>
      </c>
      <c r="I77" s="404">
        <f>SUM(I78:I82)</f>
        <v>88409556.980000004</v>
      </c>
      <c r="J77" s="404"/>
      <c r="K77" s="404">
        <f>SUM(K78:K82)</f>
        <v>88409556.980000004</v>
      </c>
      <c r="L77" s="404">
        <f>SUM(L78:L82)</f>
        <v>87321594.659999996</v>
      </c>
    </row>
    <row r="78" spans="1:18" ht="12" customHeight="1" x14ac:dyDescent="0.25">
      <c r="A78" s="646" t="s">
        <v>48</v>
      </c>
      <c r="B78" s="646"/>
      <c r="C78" s="646"/>
      <c r="D78" s="646"/>
      <c r="E78" s="646"/>
      <c r="F78" s="646"/>
      <c r="G78" s="7"/>
      <c r="H78" s="8">
        <v>602185158</v>
      </c>
      <c r="I78" s="391">
        <f>+ROUND((H78/$M$1),2)</f>
        <v>79923705.359999999</v>
      </c>
      <c r="J78" s="391"/>
      <c r="K78" s="391">
        <v>79923705.359999999</v>
      </c>
      <c r="L78" s="391">
        <v>78835743</v>
      </c>
    </row>
    <row r="79" spans="1:18" ht="12" customHeight="1" x14ac:dyDescent="0.25">
      <c r="A79" s="646" t="s">
        <v>49</v>
      </c>
      <c r="B79" s="646"/>
      <c r="C79" s="646"/>
      <c r="D79" s="646"/>
      <c r="E79" s="646"/>
      <c r="F79" s="646"/>
      <c r="G79" s="7"/>
      <c r="H79" s="8"/>
      <c r="I79" s="391"/>
      <c r="J79" s="391"/>
      <c r="K79" s="391"/>
      <c r="L79" s="391"/>
    </row>
    <row r="80" spans="1:18" ht="12" customHeight="1" x14ac:dyDescent="0.25">
      <c r="A80" s="646" t="s">
        <v>50</v>
      </c>
      <c r="B80" s="646"/>
      <c r="C80" s="646"/>
      <c r="D80" s="646"/>
      <c r="E80" s="646"/>
      <c r="F80" s="646"/>
      <c r="G80" s="7"/>
      <c r="H80" s="8"/>
      <c r="I80" s="391"/>
      <c r="J80" s="391"/>
      <c r="K80" s="391"/>
      <c r="L80" s="391"/>
    </row>
    <row r="81" spans="1:20" ht="12" customHeight="1" x14ac:dyDescent="0.25">
      <c r="A81" s="646" t="s">
        <v>51</v>
      </c>
      <c r="B81" s="646"/>
      <c r="C81" s="646"/>
      <c r="D81" s="646"/>
      <c r="E81" s="646"/>
      <c r="F81" s="646"/>
      <c r="G81" s="7"/>
      <c r="H81" s="8"/>
      <c r="I81" s="391"/>
      <c r="J81" s="391"/>
      <c r="K81" s="391"/>
      <c r="L81" s="391"/>
    </row>
    <row r="82" spans="1:20" ht="12" customHeight="1" x14ac:dyDescent="0.25">
      <c r="A82" s="646" t="s">
        <v>52</v>
      </c>
      <c r="B82" s="646"/>
      <c r="C82" s="646"/>
      <c r="D82" s="646"/>
      <c r="E82" s="646"/>
      <c r="F82" s="646"/>
      <c r="G82" s="7"/>
      <c r="H82" s="8">
        <v>63936649</v>
      </c>
      <c r="I82" s="391">
        <f>+ROUND((H82/$M$1),2)</f>
        <v>8485851.6199999992</v>
      </c>
      <c r="J82" s="391"/>
      <c r="K82" s="391">
        <v>8485851.6199999992</v>
      </c>
      <c r="L82" s="391">
        <v>8485851.6600000001</v>
      </c>
    </row>
    <row r="83" spans="1:20" ht="12" customHeight="1" x14ac:dyDescent="0.25">
      <c r="A83" s="668" t="s">
        <v>53</v>
      </c>
      <c r="B83" s="668"/>
      <c r="C83" s="668"/>
      <c r="D83" s="668"/>
      <c r="E83" s="668"/>
      <c r="F83" s="668"/>
      <c r="G83" s="36"/>
      <c r="H83" s="37"/>
      <c r="I83" s="405"/>
      <c r="J83" s="405"/>
      <c r="K83" s="405"/>
      <c r="L83" s="405"/>
    </row>
    <row r="84" spans="1:20" ht="12" customHeight="1" x14ac:dyDescent="0.25">
      <c r="A84" s="668" t="s">
        <v>214</v>
      </c>
      <c r="B84" s="668"/>
      <c r="C84" s="668"/>
      <c r="D84" s="668"/>
      <c r="E84" s="668"/>
      <c r="F84" s="668"/>
      <c r="G84" s="36"/>
      <c r="H84" s="35">
        <f>SUM(H85:H89)</f>
        <v>146384740</v>
      </c>
      <c r="I84" s="404">
        <f>SUM(I85:I88)</f>
        <v>19665685.810000002</v>
      </c>
      <c r="J84" s="404"/>
      <c r="K84" s="404">
        <f>SUM(K85:K88)</f>
        <v>19665685.810000002</v>
      </c>
      <c r="L84" s="404">
        <f>SUM(L85:L89)</f>
        <v>20876426.620000001</v>
      </c>
    </row>
    <row r="85" spans="1:20" ht="25.5" customHeight="1" x14ac:dyDescent="0.25">
      <c r="A85" s="646" t="s">
        <v>215</v>
      </c>
      <c r="B85" s="646"/>
      <c r="C85" s="646"/>
      <c r="D85" s="646"/>
      <c r="E85" s="646"/>
      <c r="F85" s="646"/>
      <c r="G85" s="7"/>
      <c r="H85" s="8">
        <v>146384740</v>
      </c>
      <c r="I85" s="391">
        <f>+ROUND((H85/$M$1),2)</f>
        <v>19428593.800000001</v>
      </c>
      <c r="J85" s="391"/>
      <c r="K85" s="391">
        <v>19428593.800000001</v>
      </c>
      <c r="L85" s="391">
        <v>20876426.620000001</v>
      </c>
    </row>
    <row r="86" spans="1:20" ht="12" customHeight="1" x14ac:dyDescent="0.25">
      <c r="A86" s="646" t="s">
        <v>54</v>
      </c>
      <c r="B86" s="646"/>
      <c r="C86" s="646"/>
      <c r="D86" s="646"/>
      <c r="E86" s="646"/>
      <c r="F86" s="646"/>
      <c r="G86" s="7"/>
      <c r="H86" s="8"/>
      <c r="I86" s="391"/>
      <c r="J86" s="391"/>
      <c r="K86" s="391"/>
      <c r="L86" s="391"/>
    </row>
    <row r="87" spans="1:20" ht="12" customHeight="1" x14ac:dyDescent="0.25">
      <c r="A87" s="646" t="s">
        <v>55</v>
      </c>
      <c r="B87" s="646"/>
      <c r="C87" s="646"/>
      <c r="D87" s="646"/>
      <c r="E87" s="646"/>
      <c r="F87" s="646"/>
      <c r="G87" s="7"/>
      <c r="H87" s="8"/>
      <c r="I87" s="391"/>
      <c r="J87" s="391"/>
      <c r="K87" s="391"/>
      <c r="L87" s="391"/>
    </row>
    <row r="88" spans="1:20" ht="12" customHeight="1" x14ac:dyDescent="0.25">
      <c r="A88" s="646" t="s">
        <v>193</v>
      </c>
      <c r="B88" s="646"/>
      <c r="C88" s="646"/>
      <c r="D88" s="646"/>
      <c r="E88" s="646"/>
      <c r="F88" s="646"/>
      <c r="G88" s="7"/>
      <c r="H88" s="8"/>
      <c r="I88" s="391">
        <f>'SVEOBUHVATNA DOBIT '!I12</f>
        <v>237092.01</v>
      </c>
      <c r="J88" s="391"/>
      <c r="K88" s="391">
        <v>237092.01</v>
      </c>
      <c r="L88" s="391"/>
      <c r="M88" s="495" t="s">
        <v>1107</v>
      </c>
      <c r="N88" s="495"/>
      <c r="O88" s="495"/>
      <c r="P88" s="495"/>
      <c r="Q88" s="495"/>
      <c r="R88" s="496"/>
    </row>
    <row r="89" spans="1:20" ht="12" customHeight="1" x14ac:dyDescent="0.25">
      <c r="A89" s="646" t="s">
        <v>194</v>
      </c>
      <c r="B89" s="646"/>
      <c r="C89" s="646"/>
      <c r="D89" s="646"/>
      <c r="E89" s="646"/>
      <c r="F89" s="646"/>
      <c r="G89" s="7"/>
      <c r="H89" s="8"/>
      <c r="J89" s="617"/>
      <c r="L89" s="391"/>
    </row>
    <row r="90" spans="1:20" ht="12" customHeight="1" x14ac:dyDescent="0.25">
      <c r="A90" s="668" t="s">
        <v>147</v>
      </c>
      <c r="B90" s="668"/>
      <c r="C90" s="668"/>
      <c r="D90" s="668"/>
      <c r="E90" s="668"/>
      <c r="F90" s="668"/>
      <c r="G90" s="36"/>
      <c r="H90" s="35">
        <f>H91-H92</f>
        <v>6567804044</v>
      </c>
      <c r="I90" s="404">
        <f>I91-I92</f>
        <v>871697397.84000003</v>
      </c>
      <c r="J90" s="404"/>
      <c r="K90" s="404">
        <f>K91-K92</f>
        <v>871697397.84000003</v>
      </c>
      <c r="L90" s="404">
        <f>L91-L92</f>
        <v>188220363.19000006</v>
      </c>
    </row>
    <row r="91" spans="1:20" ht="12" customHeight="1" x14ac:dyDescent="0.25">
      <c r="A91" s="646" t="s">
        <v>56</v>
      </c>
      <c r="B91" s="646"/>
      <c r="C91" s="646"/>
      <c r="D91" s="646"/>
      <c r="E91" s="646"/>
      <c r="F91" s="646"/>
      <c r="G91" s="7"/>
      <c r="H91" s="8">
        <v>6567804044</v>
      </c>
      <c r="I91" s="391">
        <f>+ROUND((H91/$M$1),2)</f>
        <v>871697397.84000003</v>
      </c>
      <c r="J91" s="391"/>
      <c r="K91" s="391">
        <v>871697397.84000003</v>
      </c>
      <c r="L91" s="391">
        <v>871697397.84000003</v>
      </c>
      <c r="M91" s="44"/>
      <c r="N91" s="44"/>
      <c r="O91" s="44"/>
      <c r="P91" s="44"/>
      <c r="Q91" s="44"/>
    </row>
    <row r="92" spans="1:20" ht="12" customHeight="1" x14ac:dyDescent="0.25">
      <c r="A92" s="646" t="s">
        <v>57</v>
      </c>
      <c r="B92" s="646"/>
      <c r="C92" s="646"/>
      <c r="D92" s="646"/>
      <c r="E92" s="646"/>
      <c r="F92" s="646"/>
      <c r="G92" s="7"/>
      <c r="H92" s="8"/>
      <c r="I92" s="391"/>
      <c r="J92" s="391"/>
      <c r="K92" s="391"/>
      <c r="L92" s="391">
        <f>697215022.37-13737987.72</f>
        <v>683477034.64999998</v>
      </c>
      <c r="M92" s="403"/>
      <c r="N92" s="403"/>
      <c r="O92" s="403"/>
      <c r="P92" s="403"/>
      <c r="Q92" s="403"/>
      <c r="R92" s="626"/>
      <c r="S92" s="626"/>
      <c r="T92" s="626"/>
    </row>
    <row r="93" spans="1:20" ht="12" customHeight="1" x14ac:dyDescent="0.25">
      <c r="A93" s="668" t="s">
        <v>148</v>
      </c>
      <c r="B93" s="668"/>
      <c r="C93" s="668"/>
      <c r="D93" s="668"/>
      <c r="E93" s="668"/>
      <c r="F93" s="668"/>
      <c r="G93" s="36"/>
      <c r="H93" s="35">
        <f>H94-H95</f>
        <v>-4678117317</v>
      </c>
      <c r="I93" s="404">
        <f>I94-I95</f>
        <v>-621129960.41999996</v>
      </c>
      <c r="J93" s="404"/>
      <c r="K93" s="404">
        <f>K94-K95</f>
        <v>-683714126.69999993</v>
      </c>
      <c r="L93" s="404">
        <f>L94-L95</f>
        <v>-47132211.170000002</v>
      </c>
    </row>
    <row r="94" spans="1:20" ht="12" customHeight="1" x14ac:dyDescent="0.25">
      <c r="A94" s="646" t="s">
        <v>58</v>
      </c>
      <c r="B94" s="646"/>
      <c r="C94" s="646"/>
      <c r="D94" s="646"/>
      <c r="E94" s="646"/>
      <c r="F94" s="646"/>
      <c r="G94" s="7"/>
      <c r="H94" s="341"/>
      <c r="I94" s="409"/>
      <c r="J94" s="409"/>
      <c r="K94" s="409"/>
      <c r="L94" s="409"/>
    </row>
    <row r="95" spans="1:20" ht="12" customHeight="1" x14ac:dyDescent="0.25">
      <c r="A95" s="646" t="s">
        <v>59</v>
      </c>
      <c r="B95" s="646"/>
      <c r="C95" s="646"/>
      <c r="D95" s="646"/>
      <c r="E95" s="646"/>
      <c r="F95" s="646"/>
      <c r="G95" s="7"/>
      <c r="H95" s="8">
        <v>4678117317</v>
      </c>
      <c r="I95" s="391">
        <f>'RDG '!I65</f>
        <v>621129960.41999996</v>
      </c>
      <c r="J95" s="391">
        <f>-76322154+13737987.72</f>
        <v>-62584166.280000001</v>
      </c>
      <c r="K95" s="391">
        <f>621129960.42+76322154-13737987.72</f>
        <v>683714126.69999993</v>
      </c>
      <c r="L95" s="391">
        <f>33394223.45+13737987.72</f>
        <v>47132211.170000002</v>
      </c>
      <c r="M95" s="12" t="s">
        <v>1133</v>
      </c>
      <c r="N95" s="12"/>
      <c r="O95" s="12"/>
      <c r="P95" s="12"/>
    </row>
    <row r="96" spans="1:20" ht="12" customHeight="1" x14ac:dyDescent="0.25">
      <c r="A96" s="668" t="s">
        <v>60</v>
      </c>
      <c r="B96" s="668"/>
      <c r="C96" s="668"/>
      <c r="D96" s="668"/>
      <c r="E96" s="668"/>
      <c r="F96" s="668"/>
      <c r="G96" s="7"/>
      <c r="H96" s="37"/>
      <c r="I96" s="405"/>
      <c r="J96" s="405"/>
      <c r="K96" s="405"/>
      <c r="L96" s="405"/>
    </row>
    <row r="97" spans="1:16" ht="12" customHeight="1" x14ac:dyDescent="0.25">
      <c r="A97" s="644" t="s">
        <v>149</v>
      </c>
      <c r="B97" s="644"/>
      <c r="C97" s="644"/>
      <c r="D97" s="644"/>
      <c r="E97" s="644"/>
      <c r="F97" s="644"/>
      <c r="G97" s="7" t="s">
        <v>783</v>
      </c>
      <c r="H97" s="23">
        <f>SUM(H98:H103)</f>
        <v>228346681</v>
      </c>
      <c r="I97" s="392">
        <f>SUM(I98:I103)</f>
        <v>30306812.789999999</v>
      </c>
      <c r="J97" s="392"/>
      <c r="K97" s="392">
        <f>SUM(K98:K103)</f>
        <v>106628966.78999999</v>
      </c>
      <c r="L97" s="392">
        <f>SUM(L98:L103)</f>
        <v>31058558.439999998</v>
      </c>
    </row>
    <row r="98" spans="1:16" ht="12" customHeight="1" x14ac:dyDescent="0.25">
      <c r="A98" s="646" t="s">
        <v>61</v>
      </c>
      <c r="B98" s="646"/>
      <c r="C98" s="646"/>
      <c r="D98" s="646"/>
      <c r="E98" s="646"/>
      <c r="F98" s="646"/>
      <c r="G98" s="7"/>
      <c r="H98" s="8">
        <v>27872765</v>
      </c>
      <c r="I98" s="391">
        <f>+ROUND((H98/$M$1),2)</f>
        <v>3699351.65</v>
      </c>
      <c r="J98" s="391"/>
      <c r="K98" s="391">
        <v>3699351.65</v>
      </c>
      <c r="L98" s="391">
        <v>3555392.31</v>
      </c>
    </row>
    <row r="99" spans="1:16" ht="12" customHeight="1" x14ac:dyDescent="0.25">
      <c r="A99" s="646" t="s">
        <v>62</v>
      </c>
      <c r="B99" s="646"/>
      <c r="C99" s="646"/>
      <c r="D99" s="646"/>
      <c r="E99" s="646"/>
      <c r="F99" s="646"/>
      <c r="G99" s="7"/>
      <c r="H99" s="8"/>
      <c r="I99" s="391"/>
      <c r="J99" s="391"/>
      <c r="K99" s="391"/>
      <c r="L99" s="391"/>
    </row>
    <row r="100" spans="1:16" ht="12" customHeight="1" x14ac:dyDescent="0.25">
      <c r="A100" s="646" t="s">
        <v>63</v>
      </c>
      <c r="B100" s="646"/>
      <c r="C100" s="646"/>
      <c r="D100" s="646"/>
      <c r="E100" s="646"/>
      <c r="F100" s="646"/>
      <c r="G100" s="7"/>
      <c r="H100" s="8">
        <v>178843099</v>
      </c>
      <c r="I100" s="391">
        <f>+ROUND((H100/$M$1),2)</f>
        <v>23736558.359999999</v>
      </c>
      <c r="J100" s="391"/>
      <c r="K100" s="391">
        <v>23736558.359999999</v>
      </c>
      <c r="L100" s="391">
        <v>24632263.379999999</v>
      </c>
    </row>
    <row r="101" spans="1:16" ht="12" customHeight="1" x14ac:dyDescent="0.25">
      <c r="A101" s="646" t="s">
        <v>64</v>
      </c>
      <c r="B101" s="646"/>
      <c r="C101" s="646"/>
      <c r="D101" s="646"/>
      <c r="E101" s="646"/>
      <c r="F101" s="646"/>
      <c r="G101" s="7"/>
      <c r="H101" s="8"/>
      <c r="I101" s="391"/>
      <c r="J101" s="391"/>
      <c r="K101" s="391"/>
      <c r="L101" s="391"/>
    </row>
    <row r="102" spans="1:16" ht="12" customHeight="1" x14ac:dyDescent="0.25">
      <c r="A102" s="646" t="s">
        <v>65</v>
      </c>
      <c r="B102" s="646"/>
      <c r="C102" s="646"/>
      <c r="D102" s="646"/>
      <c r="E102" s="646"/>
      <c r="F102" s="646"/>
      <c r="G102" s="7"/>
      <c r="H102" s="8"/>
      <c r="I102" s="391"/>
      <c r="J102" s="391"/>
      <c r="K102" s="391"/>
      <c r="L102" s="391"/>
    </row>
    <row r="103" spans="1:16" ht="12" customHeight="1" x14ac:dyDescent="0.25">
      <c r="A103" s="646" t="s">
        <v>66</v>
      </c>
      <c r="B103" s="646"/>
      <c r="C103" s="646"/>
      <c r="D103" s="646"/>
      <c r="E103" s="646"/>
      <c r="F103" s="646"/>
      <c r="G103" s="7" t="s">
        <v>784</v>
      </c>
      <c r="H103" s="8">
        <v>21630817</v>
      </c>
      <c r="I103" s="391">
        <f>+ROUND((H103/$M$1),2)</f>
        <v>2870902.78</v>
      </c>
      <c r="J103" s="391">
        <v>76322154</v>
      </c>
      <c r="K103" s="391">
        <f>2870902.78+76322154</f>
        <v>79193056.780000001</v>
      </c>
      <c r="L103" s="391">
        <f>2870902.75+76322154-76322154</f>
        <v>2870902.75</v>
      </c>
      <c r="M103" s="12" t="s">
        <v>1106</v>
      </c>
      <c r="N103" s="12"/>
      <c r="O103" s="12"/>
      <c r="P103" s="12"/>
    </row>
    <row r="104" spans="1:16" ht="12" customHeight="1" x14ac:dyDescent="0.25">
      <c r="A104" s="644" t="s">
        <v>150</v>
      </c>
      <c r="B104" s="644"/>
      <c r="C104" s="644"/>
      <c r="D104" s="644"/>
      <c r="E104" s="644"/>
      <c r="F104" s="644"/>
      <c r="G104" s="24"/>
      <c r="H104" s="23">
        <f>SUM(H105:H115)</f>
        <v>12046699001</v>
      </c>
      <c r="I104" s="392">
        <f>SUM(I105:I115)</f>
        <v>1598871723.54</v>
      </c>
      <c r="J104" s="392"/>
      <c r="K104" s="392">
        <f>SUM(K105:K115)</f>
        <v>1598871723.54</v>
      </c>
      <c r="L104" s="392">
        <f>SUM(L105:L115)</f>
        <v>1413949809.0200002</v>
      </c>
    </row>
    <row r="105" spans="1:16" ht="12" customHeight="1" x14ac:dyDescent="0.25">
      <c r="A105" s="646" t="s">
        <v>67</v>
      </c>
      <c r="B105" s="646"/>
      <c r="C105" s="646"/>
      <c r="D105" s="646"/>
      <c r="E105" s="646"/>
      <c r="F105" s="646"/>
      <c r="G105" s="7"/>
      <c r="H105" s="8">
        <v>2479730</v>
      </c>
      <c r="I105" s="391">
        <f>+ROUND((H105/$M$1),2)</f>
        <v>329116.73</v>
      </c>
      <c r="J105" s="391"/>
      <c r="K105" s="391">
        <v>329116.73</v>
      </c>
      <c r="L105" s="391">
        <v>222360.91</v>
      </c>
    </row>
    <row r="106" spans="1:16" ht="12" customHeight="1" x14ac:dyDescent="0.25">
      <c r="A106" s="646" t="s">
        <v>68</v>
      </c>
      <c r="B106" s="646"/>
      <c r="C106" s="646"/>
      <c r="D106" s="646"/>
      <c r="E106" s="646"/>
      <c r="F106" s="646"/>
      <c r="G106" s="7"/>
      <c r="H106" s="8"/>
      <c r="I106" s="391"/>
      <c r="J106" s="391"/>
      <c r="K106" s="391"/>
      <c r="L106" s="391"/>
    </row>
    <row r="107" spans="1:16" ht="12" customHeight="1" x14ac:dyDescent="0.25">
      <c r="A107" s="646" t="s">
        <v>69</v>
      </c>
      <c r="B107" s="646"/>
      <c r="C107" s="646"/>
      <c r="D107" s="646"/>
      <c r="E107" s="646"/>
      <c r="F107" s="646"/>
      <c r="G107" s="7"/>
      <c r="H107" s="8"/>
      <c r="I107" s="391"/>
      <c r="J107" s="391"/>
      <c r="K107" s="391"/>
      <c r="L107" s="391"/>
    </row>
    <row r="108" spans="1:16" ht="12" customHeight="1" x14ac:dyDescent="0.25">
      <c r="A108" s="669" t="s">
        <v>173</v>
      </c>
      <c r="B108" s="669"/>
      <c r="C108" s="669"/>
      <c r="D108" s="669"/>
      <c r="E108" s="669"/>
      <c r="F108" s="669"/>
      <c r="G108" s="7"/>
      <c r="H108" s="8"/>
      <c r="I108" s="391"/>
      <c r="J108" s="391"/>
      <c r="K108" s="391"/>
      <c r="L108" s="391"/>
    </row>
    <row r="109" spans="1:16" ht="12" customHeight="1" x14ac:dyDescent="0.25">
      <c r="A109" s="646" t="s">
        <v>70</v>
      </c>
      <c r="B109" s="646"/>
      <c r="C109" s="646"/>
      <c r="D109" s="646"/>
      <c r="E109" s="646"/>
      <c r="F109" s="646"/>
      <c r="G109" s="7" t="s">
        <v>785</v>
      </c>
      <c r="H109" s="8"/>
      <c r="I109" s="391"/>
      <c r="J109" s="391"/>
      <c r="K109" s="391"/>
      <c r="L109" s="391">
        <v>400000000</v>
      </c>
    </row>
    <row r="110" spans="1:16" ht="12" customHeight="1" x14ac:dyDescent="0.25">
      <c r="A110" s="646" t="s">
        <v>71</v>
      </c>
      <c r="B110" s="646"/>
      <c r="C110" s="646"/>
      <c r="D110" s="646"/>
      <c r="E110" s="646"/>
      <c r="F110" s="646"/>
      <c r="G110" s="7" t="s">
        <v>786</v>
      </c>
      <c r="H110" s="8">
        <v>11160280365</v>
      </c>
      <c r="I110" s="391">
        <f>+ROUND((H110/$M$1),2)</f>
        <v>1481223752.74</v>
      </c>
      <c r="J110" s="391"/>
      <c r="K110" s="391">
        <v>1481223752.74</v>
      </c>
      <c r="L110" s="391">
        <v>899324436.23000002</v>
      </c>
    </row>
    <row r="111" spans="1:16" ht="12" customHeight="1" x14ac:dyDescent="0.25">
      <c r="A111" s="646" t="s">
        <v>72</v>
      </c>
      <c r="B111" s="646"/>
      <c r="C111" s="646"/>
      <c r="D111" s="646"/>
      <c r="E111" s="646"/>
      <c r="F111" s="646"/>
      <c r="G111" s="7"/>
      <c r="H111" s="8"/>
      <c r="I111" s="391"/>
      <c r="J111" s="391"/>
      <c r="K111" s="391"/>
      <c r="L111" s="391"/>
    </row>
    <row r="112" spans="1:16" ht="12" customHeight="1" x14ac:dyDescent="0.25">
      <c r="A112" s="646" t="s">
        <v>73</v>
      </c>
      <c r="B112" s="646"/>
      <c r="C112" s="646"/>
      <c r="D112" s="646"/>
      <c r="E112" s="646"/>
      <c r="F112" s="646"/>
      <c r="G112" s="7"/>
      <c r="H112" s="8">
        <v>9263303</v>
      </c>
      <c r="I112" s="391">
        <f>+ROUND((H112/$M$1),2)</f>
        <v>1229451.5900000001</v>
      </c>
      <c r="J112" s="391"/>
      <c r="K112" s="391">
        <v>1229451.5900000001</v>
      </c>
      <c r="L112" s="391">
        <v>1176550.8799999999</v>
      </c>
    </row>
    <row r="113" spans="1:23" ht="12" customHeight="1" x14ac:dyDescent="0.25">
      <c r="A113" s="646" t="s">
        <v>74</v>
      </c>
      <c r="B113" s="646"/>
      <c r="C113" s="646"/>
      <c r="D113" s="646"/>
      <c r="E113" s="646"/>
      <c r="F113" s="646"/>
      <c r="G113" s="7"/>
      <c r="H113" s="8"/>
      <c r="I113" s="391"/>
      <c r="J113" s="391"/>
      <c r="K113" s="391"/>
      <c r="L113" s="391"/>
    </row>
    <row r="114" spans="1:23" ht="12" customHeight="1" x14ac:dyDescent="0.25">
      <c r="A114" s="646" t="s">
        <v>75</v>
      </c>
      <c r="B114" s="646"/>
      <c r="C114" s="646"/>
      <c r="D114" s="646"/>
      <c r="E114" s="646"/>
      <c r="F114" s="646"/>
      <c r="G114" s="7" t="s">
        <v>787</v>
      </c>
      <c r="H114" s="8">
        <v>853864007</v>
      </c>
      <c r="I114" s="391">
        <f>+ROUND((H114/$M$1),2)</f>
        <v>113327229.01000001</v>
      </c>
      <c r="J114" s="391"/>
      <c r="K114" s="391">
        <v>113327229.01000001</v>
      </c>
      <c r="L114" s="391">
        <v>109378730.14</v>
      </c>
    </row>
    <row r="115" spans="1:23" ht="12" customHeight="1" x14ac:dyDescent="0.25">
      <c r="A115" s="646" t="s">
        <v>76</v>
      </c>
      <c r="B115" s="646"/>
      <c r="C115" s="646"/>
      <c r="D115" s="646"/>
      <c r="E115" s="646"/>
      <c r="F115" s="646"/>
      <c r="G115" s="7"/>
      <c r="H115" s="8">
        <f>26350047-5538451</f>
        <v>20811596</v>
      </c>
      <c r="I115" s="391">
        <f>+ROUND((H115/$M$1),2)</f>
        <v>2762173.47</v>
      </c>
      <c r="J115" s="391"/>
      <c r="K115" s="391">
        <v>2762173.47</v>
      </c>
      <c r="L115" s="391">
        <f>4582809.58-735078.72</f>
        <v>3847730.8600000003</v>
      </c>
      <c r="M115" s="527" t="s">
        <v>1026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1:23" ht="12" customHeight="1" x14ac:dyDescent="0.25">
      <c r="A116" s="644" t="s">
        <v>151</v>
      </c>
      <c r="B116" s="644"/>
      <c r="C116" s="644"/>
      <c r="D116" s="644"/>
      <c r="E116" s="644"/>
      <c r="F116" s="644"/>
      <c r="G116" s="24"/>
      <c r="H116" s="23">
        <f>SUM(H117:H130)</f>
        <v>7641731493</v>
      </c>
      <c r="I116" s="392">
        <f>SUM(I117:I130)</f>
        <v>1014232064.8899999</v>
      </c>
      <c r="J116" s="392"/>
      <c r="K116" s="392">
        <f>SUM(K117:K130)</f>
        <v>1014232064.8899999</v>
      </c>
      <c r="L116" s="392">
        <f>SUM(L117:L130)</f>
        <v>1927942936.9100003</v>
      </c>
    </row>
    <row r="117" spans="1:23" ht="12" customHeight="1" x14ac:dyDescent="0.25">
      <c r="A117" s="646" t="s">
        <v>67</v>
      </c>
      <c r="B117" s="646"/>
      <c r="C117" s="646"/>
      <c r="D117" s="646"/>
      <c r="E117" s="646"/>
      <c r="F117" s="646"/>
      <c r="G117" s="7" t="s">
        <v>788</v>
      </c>
      <c r="H117" s="8">
        <v>4743415796</v>
      </c>
      <c r="I117" s="391">
        <f>+ROUND((H117/$M$1),2)</f>
        <v>629559465.91999996</v>
      </c>
      <c r="J117" s="391"/>
      <c r="K117" s="391">
        <v>629559465.91999996</v>
      </c>
      <c r="L117" s="391">
        <v>722280103.91999996</v>
      </c>
    </row>
    <row r="118" spans="1:23" ht="12" customHeight="1" x14ac:dyDescent="0.25">
      <c r="A118" s="646" t="s">
        <v>68</v>
      </c>
      <c r="B118" s="646"/>
      <c r="C118" s="646"/>
      <c r="D118" s="646"/>
      <c r="E118" s="646"/>
      <c r="F118" s="646"/>
      <c r="G118" s="7" t="s">
        <v>789</v>
      </c>
      <c r="H118" s="8"/>
      <c r="I118" s="391"/>
      <c r="J118" s="391"/>
      <c r="K118" s="391"/>
      <c r="L118" s="391">
        <v>75000000</v>
      </c>
    </row>
    <row r="119" spans="1:23" ht="12" customHeight="1" x14ac:dyDescent="0.25">
      <c r="A119" s="646" t="s">
        <v>69</v>
      </c>
      <c r="B119" s="646"/>
      <c r="C119" s="646"/>
      <c r="D119" s="646"/>
      <c r="E119" s="646"/>
      <c r="F119" s="646"/>
      <c r="G119" s="7"/>
      <c r="H119" s="8"/>
      <c r="I119" s="391"/>
      <c r="J119" s="391"/>
      <c r="K119" s="391"/>
      <c r="L119" s="391"/>
    </row>
    <row r="120" spans="1:23" ht="12" customHeight="1" x14ac:dyDescent="0.25">
      <c r="A120" s="669" t="s">
        <v>173</v>
      </c>
      <c r="B120" s="669"/>
      <c r="C120" s="669"/>
      <c r="D120" s="669"/>
      <c r="E120" s="669"/>
      <c r="F120" s="669"/>
      <c r="G120" s="7"/>
      <c r="H120" s="8"/>
      <c r="I120" s="391"/>
      <c r="J120" s="391"/>
      <c r="K120" s="391"/>
      <c r="L120" s="391"/>
    </row>
    <row r="121" spans="1:23" ht="12" customHeight="1" x14ac:dyDescent="0.25">
      <c r="A121" s="646" t="s">
        <v>70</v>
      </c>
      <c r="B121" s="646"/>
      <c r="C121" s="646"/>
      <c r="D121" s="646"/>
      <c r="E121" s="646"/>
      <c r="F121" s="646"/>
      <c r="G121" s="7"/>
      <c r="H121" s="8"/>
      <c r="I121" s="391"/>
      <c r="J121" s="391"/>
      <c r="K121" s="391"/>
      <c r="L121" s="391"/>
    </row>
    <row r="122" spans="1:23" ht="12" customHeight="1" x14ac:dyDescent="0.25">
      <c r="A122" s="646" t="s">
        <v>71</v>
      </c>
      <c r="B122" s="646"/>
      <c r="C122" s="646"/>
      <c r="D122" s="646"/>
      <c r="E122" s="646"/>
      <c r="F122" s="646"/>
      <c r="G122" s="7" t="s">
        <v>790</v>
      </c>
      <c r="H122" s="8">
        <v>139500683</v>
      </c>
      <c r="I122" s="391">
        <f t="shared" ref="I122:I127" si="3">+ROUND((H122/$M$1),2)</f>
        <v>18514922.420000002</v>
      </c>
      <c r="J122" s="391"/>
      <c r="K122" s="391">
        <v>18514922.420000002</v>
      </c>
      <c r="L122" s="391">
        <v>917590472.05999994</v>
      </c>
    </row>
    <row r="123" spans="1:23" ht="12" customHeight="1" x14ac:dyDescent="0.25">
      <c r="A123" s="646" t="s">
        <v>72</v>
      </c>
      <c r="B123" s="646"/>
      <c r="C123" s="646"/>
      <c r="D123" s="646"/>
      <c r="E123" s="646"/>
      <c r="F123" s="646"/>
      <c r="G123" s="7"/>
      <c r="H123" s="8">
        <v>59386537</v>
      </c>
      <c r="I123" s="391">
        <f t="shared" si="3"/>
        <v>7881947.9699999997</v>
      </c>
      <c r="J123" s="391"/>
      <c r="K123" s="391">
        <v>7881947.9699999997</v>
      </c>
      <c r="L123" s="391">
        <v>498974.94</v>
      </c>
    </row>
    <row r="124" spans="1:23" ht="12" customHeight="1" x14ac:dyDescent="0.25">
      <c r="A124" s="646" t="s">
        <v>73</v>
      </c>
      <c r="B124" s="646"/>
      <c r="C124" s="646"/>
      <c r="D124" s="646"/>
      <c r="E124" s="646"/>
      <c r="F124" s="646"/>
      <c r="G124" s="7"/>
      <c r="H124" s="8">
        <v>2605234280</v>
      </c>
      <c r="I124" s="391">
        <f t="shared" si="3"/>
        <v>345774010.22000003</v>
      </c>
      <c r="J124" s="391"/>
      <c r="K124" s="391">
        <v>345774010.22000003</v>
      </c>
      <c r="L124" s="391">
        <v>163099560.03999999</v>
      </c>
    </row>
    <row r="125" spans="1:23" ht="12" customHeight="1" x14ac:dyDescent="0.25">
      <c r="A125" s="646" t="s">
        <v>74</v>
      </c>
      <c r="B125" s="646"/>
      <c r="C125" s="646"/>
      <c r="D125" s="646"/>
      <c r="E125" s="646"/>
      <c r="F125" s="646"/>
      <c r="G125" s="7"/>
      <c r="H125" s="8"/>
      <c r="I125" s="391"/>
      <c r="J125" s="391"/>
      <c r="K125" s="391"/>
      <c r="L125" s="391"/>
    </row>
    <row r="126" spans="1:23" ht="12" customHeight="1" x14ac:dyDescent="0.25">
      <c r="A126" s="646" t="s">
        <v>77</v>
      </c>
      <c r="B126" s="646"/>
      <c r="C126" s="646"/>
      <c r="D126" s="646"/>
      <c r="E126" s="646"/>
      <c r="F126" s="646"/>
      <c r="G126" s="7" t="s">
        <v>819</v>
      </c>
      <c r="H126" s="8">
        <v>9532288</v>
      </c>
      <c r="I126" s="391">
        <f t="shared" si="3"/>
        <v>1265152.03</v>
      </c>
      <c r="J126" s="391"/>
      <c r="K126" s="391">
        <v>1265152.03</v>
      </c>
      <c r="L126" s="391">
        <v>1234623.1299999999</v>
      </c>
    </row>
    <row r="127" spans="1:23" ht="12" customHeight="1" x14ac:dyDescent="0.25">
      <c r="A127" s="646" t="s">
        <v>78</v>
      </c>
      <c r="B127" s="646"/>
      <c r="C127" s="646"/>
      <c r="D127" s="646"/>
      <c r="E127" s="646"/>
      <c r="F127" s="646"/>
      <c r="G127" s="7"/>
      <c r="H127" s="8">
        <f>6656298+10924102</f>
        <v>17580400</v>
      </c>
      <c r="I127" s="391">
        <f t="shared" si="3"/>
        <v>2333320.06</v>
      </c>
      <c r="J127" s="391"/>
      <c r="K127" s="391">
        <v>2333320.06</v>
      </c>
      <c r="L127" s="391">
        <v>11253027.4</v>
      </c>
      <c r="M127" s="403"/>
      <c r="N127" s="403"/>
      <c r="O127" s="403"/>
      <c r="P127" s="403"/>
      <c r="Q127" s="403"/>
      <c r="R127" s="403"/>
      <c r="S127" s="403"/>
      <c r="T127" s="403"/>
      <c r="U127" s="403"/>
      <c r="V127" s="342"/>
    </row>
    <row r="128" spans="1:23" ht="12" customHeight="1" x14ac:dyDescent="0.25">
      <c r="A128" s="646" t="s">
        <v>79</v>
      </c>
      <c r="B128" s="646"/>
      <c r="C128" s="646"/>
      <c r="D128" s="646"/>
      <c r="E128" s="646"/>
      <c r="F128" s="646"/>
      <c r="G128" s="7"/>
      <c r="H128" s="8"/>
      <c r="I128" s="391"/>
      <c r="J128" s="391"/>
      <c r="K128" s="391"/>
      <c r="L128" s="391"/>
    </row>
    <row r="129" spans="1:19" ht="12" customHeight="1" x14ac:dyDescent="0.25">
      <c r="A129" s="646" t="s">
        <v>80</v>
      </c>
      <c r="B129" s="646"/>
      <c r="C129" s="646"/>
      <c r="D129" s="646"/>
      <c r="E129" s="646"/>
      <c r="F129" s="646"/>
      <c r="G129" s="7"/>
      <c r="H129" s="8"/>
      <c r="I129" s="391"/>
      <c r="J129" s="391"/>
      <c r="K129" s="391"/>
      <c r="L129" s="391"/>
    </row>
    <row r="130" spans="1:19" ht="12" customHeight="1" x14ac:dyDescent="0.25">
      <c r="A130" s="646" t="s">
        <v>81</v>
      </c>
      <c r="B130" s="646"/>
      <c r="C130" s="646"/>
      <c r="D130" s="646"/>
      <c r="E130" s="646"/>
      <c r="F130" s="646"/>
      <c r="G130" s="7" t="s">
        <v>820</v>
      </c>
      <c r="H130" s="8">
        <v>67081509</v>
      </c>
      <c r="I130" s="391">
        <f t="shared" ref="I130" si="4">+ROUND((H130/$M$1),2)</f>
        <v>8903246.2699999996</v>
      </c>
      <c r="J130" s="391"/>
      <c r="K130" s="391">
        <v>8903246.2699999996</v>
      </c>
      <c r="L130" s="391">
        <v>36986175.420000002</v>
      </c>
      <c r="M130" s="527"/>
      <c r="N130" s="19"/>
      <c r="O130" s="19"/>
      <c r="P130" s="19"/>
      <c r="Q130" s="19"/>
      <c r="R130" s="19"/>
      <c r="S130" s="19"/>
    </row>
    <row r="131" spans="1:19" ht="12" customHeight="1" x14ac:dyDescent="0.25">
      <c r="A131" s="645" t="s">
        <v>172</v>
      </c>
      <c r="B131" s="645"/>
      <c r="C131" s="645"/>
      <c r="D131" s="645"/>
      <c r="E131" s="645"/>
      <c r="F131" s="645"/>
      <c r="G131" s="7" t="s">
        <v>821</v>
      </c>
      <c r="H131" s="25">
        <v>54842959</v>
      </c>
      <c r="I131" s="503">
        <f>+ROUND((H131/$M$1),2)+0.01</f>
        <v>7278911.5499999998</v>
      </c>
      <c r="J131" s="503"/>
      <c r="K131" s="503">
        <v>7278911.5499999998</v>
      </c>
      <c r="L131" s="504">
        <v>11605205.77</v>
      </c>
      <c r="M131" s="507" t="s">
        <v>1018</v>
      </c>
    </row>
    <row r="132" spans="1:19" ht="12" customHeight="1" x14ac:dyDescent="0.25">
      <c r="A132" s="644" t="s">
        <v>152</v>
      </c>
      <c r="B132" s="644"/>
      <c r="C132" s="644"/>
      <c r="D132" s="644"/>
      <c r="E132" s="644"/>
      <c r="F132" s="644"/>
      <c r="G132" s="24"/>
      <c r="H132" s="23">
        <f>H131+H116+H104+H97+H74</f>
        <v>42465972608</v>
      </c>
      <c r="I132" s="392">
        <f>I131+I116+I104+I97+I74</f>
        <v>5636203146.5900002</v>
      </c>
      <c r="J132" s="392">
        <f>SUM(J74:J131)</f>
        <v>13737987.719999999</v>
      </c>
      <c r="K132" s="392">
        <f>K131+K116+K104+K97+K74</f>
        <v>5649941134.3099995</v>
      </c>
      <c r="L132" s="392">
        <f>L131+L116+L104+L97+L74</f>
        <v>6261801599.4400005</v>
      </c>
      <c r="M132" s="410">
        <f>I69-I132</f>
        <v>0</v>
      </c>
      <c r="N132" s="410">
        <f>L69-L132</f>
        <v>0</v>
      </c>
    </row>
    <row r="133" spans="1:19" ht="12" customHeight="1" x14ac:dyDescent="0.25">
      <c r="A133" s="673" t="s">
        <v>82</v>
      </c>
      <c r="B133" s="673"/>
      <c r="C133" s="673"/>
      <c r="D133" s="673"/>
      <c r="E133" s="673"/>
      <c r="F133" s="673"/>
      <c r="G133" s="9"/>
      <c r="H133" s="39">
        <v>3741460513</v>
      </c>
      <c r="I133" s="407">
        <f t="shared" ref="I133" si="5">+ROUND((H133/$M$1),2)</f>
        <v>496577146.86000001</v>
      </c>
      <c r="J133" s="407"/>
      <c r="K133" s="407">
        <v>496577146.86000001</v>
      </c>
      <c r="L133" s="407">
        <v>1278978061.9300001</v>
      </c>
      <c r="M133" s="410">
        <f>I70-I133</f>
        <v>0</v>
      </c>
      <c r="N133" s="410">
        <f>L70-L133</f>
        <v>0</v>
      </c>
    </row>
  </sheetData>
  <mergeCells count="131">
    <mergeCell ref="A1:L1"/>
    <mergeCell ref="A81:F81"/>
    <mergeCell ref="A82:F82"/>
    <mergeCell ref="A65:F65"/>
    <mergeCell ref="A115:F115"/>
    <mergeCell ref="A116:F116"/>
    <mergeCell ref="A117:F117"/>
    <mergeCell ref="A73:L73"/>
    <mergeCell ref="A99:F99"/>
    <mergeCell ref="A68:F68"/>
    <mergeCell ref="A69:F69"/>
    <mergeCell ref="A70:F70"/>
    <mergeCell ref="A74:F74"/>
    <mergeCell ref="A75:F75"/>
    <mergeCell ref="A76:F76"/>
    <mergeCell ref="A107:F107"/>
    <mergeCell ref="A111:F111"/>
    <mergeCell ref="A103:F103"/>
    <mergeCell ref="A104:F104"/>
    <mergeCell ref="A66:F66"/>
    <mergeCell ref="A101:F101"/>
    <mergeCell ref="A102:F102"/>
    <mergeCell ref="A89:F89"/>
    <mergeCell ref="A80:F80"/>
    <mergeCell ref="A64:F64"/>
    <mergeCell ref="A58:F58"/>
    <mergeCell ref="A59:F59"/>
    <mergeCell ref="A60:F60"/>
    <mergeCell ref="A61:F61"/>
    <mergeCell ref="A62:F62"/>
    <mergeCell ref="A79:F79"/>
    <mergeCell ref="A77:F77"/>
    <mergeCell ref="A78:F78"/>
    <mergeCell ref="A67:F67"/>
    <mergeCell ref="A72:F72"/>
    <mergeCell ref="A112:F112"/>
    <mergeCell ref="A113:F113"/>
    <mergeCell ref="A114:F114"/>
    <mergeCell ref="A108:F108"/>
    <mergeCell ref="A110:F110"/>
    <mergeCell ref="A83:F83"/>
    <mergeCell ref="A63:F63"/>
    <mergeCell ref="A109:F109"/>
    <mergeCell ref="A84:F84"/>
    <mergeCell ref="A93:F93"/>
    <mergeCell ref="A85:F85"/>
    <mergeCell ref="A86:F86"/>
    <mergeCell ref="A95:F95"/>
    <mergeCell ref="A94:F94"/>
    <mergeCell ref="A92:F92"/>
    <mergeCell ref="A87:F87"/>
    <mergeCell ref="A106:F106"/>
    <mergeCell ref="A90:F90"/>
    <mergeCell ref="A91:F91"/>
    <mergeCell ref="A97:F97"/>
    <mergeCell ref="A96:F96"/>
    <mergeCell ref="A105:F105"/>
    <mergeCell ref="A98:F98"/>
    <mergeCell ref="A100:F100"/>
    <mergeCell ref="A118:F118"/>
    <mergeCell ref="A132:F132"/>
    <mergeCell ref="A133:F133"/>
    <mergeCell ref="A126:F126"/>
    <mergeCell ref="A127:F127"/>
    <mergeCell ref="A128:F128"/>
    <mergeCell ref="A129:F129"/>
    <mergeCell ref="A130:F130"/>
    <mergeCell ref="A131:F131"/>
    <mergeCell ref="A122:F122"/>
    <mergeCell ref="A123:F123"/>
    <mergeCell ref="A124:F124"/>
    <mergeCell ref="A119:F119"/>
    <mergeCell ref="A120:F120"/>
    <mergeCell ref="A121:F121"/>
    <mergeCell ref="A125:F125"/>
    <mergeCell ref="A43:F43"/>
    <mergeCell ref="A44:F44"/>
    <mergeCell ref="A45:F45"/>
    <mergeCell ref="A46:F46"/>
    <mergeCell ref="A47:F47"/>
    <mergeCell ref="A48:F48"/>
    <mergeCell ref="A53:F53"/>
    <mergeCell ref="A54:F54"/>
    <mergeCell ref="A55:F55"/>
    <mergeCell ref="A3:F3"/>
    <mergeCell ref="A4:F4"/>
    <mergeCell ref="A7:F7"/>
    <mergeCell ref="A8:F8"/>
    <mergeCell ref="A23:F23"/>
    <mergeCell ref="A24:F24"/>
    <mergeCell ref="A32:F32"/>
    <mergeCell ref="A9:F9"/>
    <mergeCell ref="A88:F88"/>
    <mergeCell ref="A34:F34"/>
    <mergeCell ref="A13:F13"/>
    <mergeCell ref="A14:F14"/>
    <mergeCell ref="A31:F31"/>
    <mergeCell ref="A33:F33"/>
    <mergeCell ref="A17:F17"/>
    <mergeCell ref="A18:F18"/>
    <mergeCell ref="A19:F19"/>
    <mergeCell ref="A29:F29"/>
    <mergeCell ref="A30:F30"/>
    <mergeCell ref="A56:F56"/>
    <mergeCell ref="A57:F57"/>
    <mergeCell ref="A35:F35"/>
    <mergeCell ref="A36:F36"/>
    <mergeCell ref="A37:F37"/>
    <mergeCell ref="A10:F10"/>
    <mergeCell ref="A11:F11"/>
    <mergeCell ref="A5:F5"/>
    <mergeCell ref="A6:F6"/>
    <mergeCell ref="A40:F40"/>
    <mergeCell ref="A41:F41"/>
    <mergeCell ref="A21:F21"/>
    <mergeCell ref="A22:F22"/>
    <mergeCell ref="A20:F20"/>
    <mergeCell ref="A25:F25"/>
    <mergeCell ref="A26:F26"/>
    <mergeCell ref="A27:F27"/>
    <mergeCell ref="A12:F12"/>
    <mergeCell ref="A15:F15"/>
    <mergeCell ref="A16:F16"/>
    <mergeCell ref="A28:F28"/>
    <mergeCell ref="A38:F38"/>
    <mergeCell ref="A39:F39"/>
    <mergeCell ref="A50:F50"/>
    <mergeCell ref="A51:F51"/>
    <mergeCell ref="A52:F52"/>
    <mergeCell ref="A49:F49"/>
    <mergeCell ref="A42:F42"/>
  </mergeCells>
  <printOptions horizontalCentered="1"/>
  <pageMargins left="0.39370078740157499" right="0.39370078740157499" top="0.78740157480314998" bottom="0.196850393700787" header="0.196850393700787" footer="0.118110236220472"/>
  <pageSetup paperSize="9" scale="85" orientation="portrait" r:id="rId1"/>
  <headerFooter>
    <oddHeader xml:space="preserve">&amp;L&amp;"Calibri,Bold"&amp;10          &amp;G
&amp;R </oddHeader>
  </headerFooter>
  <rowBreaks count="1" manualBreakCount="1">
    <brk id="70" max="16383" man="1"/>
  </rowBreaks>
  <ignoredErrors>
    <ignoredError sqref="G35 G111:G112 G69 G132 G128 G129 G127 G41 G43:G45 G47:G49 G54 G57:G59 G116 G119:G121 G123:G124 G37:G40 G60:G64 G68 G70 G115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opLeftCell="A28" zoomScaleNormal="100" workbookViewId="0">
      <selection activeCell="L33" sqref="L33"/>
    </sheetView>
  </sheetViews>
  <sheetFormatPr defaultRowHeight="12" x14ac:dyDescent="0.2"/>
  <cols>
    <col min="1" max="5" width="9.140625" style="12"/>
    <col min="6" max="6" width="23.85546875" style="12" customWidth="1"/>
    <col min="7" max="7" width="6.140625" style="12" customWidth="1"/>
    <col min="8" max="10" width="15.5703125" style="12" hidden="1" customWidth="1"/>
    <col min="11" max="11" width="15.5703125" style="599" customWidth="1"/>
    <col min="12" max="12" width="15.5703125" style="389" customWidth="1"/>
    <col min="13" max="14" width="13.28515625" style="12" hidden="1" customWidth="1"/>
    <col min="15" max="15" width="13" style="12" hidden="1" customWidth="1"/>
    <col min="16" max="17" width="0" style="12" hidden="1" customWidth="1"/>
    <col min="18" max="18" width="9.5703125" style="12" hidden="1" customWidth="1"/>
    <col min="19" max="21" width="0" style="12" hidden="1" customWidth="1"/>
    <col min="22" max="16384" width="9.140625" style="12"/>
  </cols>
  <sheetData>
    <row r="1" spans="1:21" ht="16.5" customHeight="1" x14ac:dyDescent="0.2">
      <c r="A1" s="650" t="s">
        <v>83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2"/>
    </row>
    <row r="2" spans="1:21" ht="15.95" customHeight="1" thickBot="1" x14ac:dyDescent="0.3">
      <c r="A2" s="653" t="s">
        <v>1004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388">
        <v>7.5316239999999999</v>
      </c>
    </row>
    <row r="3" spans="1:21" ht="15" customHeight="1" thickTop="1" x14ac:dyDescent="0.2">
      <c r="A3" s="657" t="s">
        <v>170</v>
      </c>
      <c r="B3" s="658"/>
      <c r="C3" s="658"/>
      <c r="D3" s="658"/>
      <c r="E3" s="658"/>
      <c r="F3" s="658"/>
      <c r="G3" s="658"/>
      <c r="H3" s="22" t="s">
        <v>171</v>
      </c>
      <c r="I3" s="22" t="s">
        <v>1005</v>
      </c>
      <c r="J3" s="22"/>
      <c r="K3" s="598"/>
      <c r="L3" s="424" t="s">
        <v>1005</v>
      </c>
    </row>
    <row r="4" spans="1:21" customFormat="1" ht="26.25" customHeight="1" x14ac:dyDescent="0.25">
      <c r="A4" s="655" t="s">
        <v>0</v>
      </c>
      <c r="B4" s="655"/>
      <c r="C4" s="655"/>
      <c r="D4" s="655"/>
      <c r="E4" s="655"/>
      <c r="F4" s="655"/>
      <c r="G4" s="343" t="s">
        <v>144</v>
      </c>
      <c r="H4" s="381" t="s">
        <v>907</v>
      </c>
      <c r="I4" s="381" t="s">
        <v>907</v>
      </c>
      <c r="J4" s="608" t="s">
        <v>1131</v>
      </c>
      <c r="K4" s="608" t="s">
        <v>1130</v>
      </c>
      <c r="L4" s="526" t="s">
        <v>1006</v>
      </c>
    </row>
    <row r="5" spans="1:21" ht="12" customHeight="1" x14ac:dyDescent="0.2">
      <c r="A5" s="656" t="s">
        <v>153</v>
      </c>
      <c r="B5" s="656"/>
      <c r="C5" s="656"/>
      <c r="D5" s="656"/>
      <c r="E5" s="656"/>
      <c r="F5" s="656"/>
      <c r="G5" s="28"/>
      <c r="H5" s="29">
        <f>SUM(H6:H10)</f>
        <v>17770086003</v>
      </c>
      <c r="I5" s="390">
        <f>SUM(I6:I10)</f>
        <v>2359396327.1300001</v>
      </c>
      <c r="J5" s="390"/>
      <c r="K5" s="390">
        <f>SUM(K6:K10)</f>
        <v>2359396327.1300001</v>
      </c>
      <c r="L5" s="390">
        <f>SUM(L6:L10)</f>
        <v>3617729515.5500002</v>
      </c>
    </row>
    <row r="6" spans="1:21" ht="12" customHeight="1" x14ac:dyDescent="0.2">
      <c r="A6" s="646" t="s">
        <v>84</v>
      </c>
      <c r="B6" s="646"/>
      <c r="C6" s="646"/>
      <c r="D6" s="646"/>
      <c r="E6" s="646"/>
      <c r="F6" s="646"/>
      <c r="G6" s="7" t="s">
        <v>178</v>
      </c>
      <c r="H6" s="8">
        <f>7616973040+291555288</f>
        <v>7908528328</v>
      </c>
      <c r="I6" s="391">
        <f>+ROUND((H6/$M$2),2)</f>
        <v>1050042902.83</v>
      </c>
      <c r="J6" s="618"/>
      <c r="K6" s="391">
        <v>1050042902.83</v>
      </c>
      <c r="L6" s="391">
        <v>1349538106.46</v>
      </c>
    </row>
    <row r="7" spans="1:21" ht="12" customHeight="1" x14ac:dyDescent="0.2">
      <c r="A7" s="646" t="s">
        <v>85</v>
      </c>
      <c r="B7" s="646"/>
      <c r="C7" s="646"/>
      <c r="D7" s="646"/>
      <c r="E7" s="646"/>
      <c r="F7" s="646"/>
      <c r="G7" s="7" t="s">
        <v>179</v>
      </c>
      <c r="H7" s="8">
        <v>9561670457</v>
      </c>
      <c r="I7" s="391">
        <f>+ROUND((H7/$M$2),2)</f>
        <v>1269536351.9200001</v>
      </c>
      <c r="J7" s="618"/>
      <c r="K7" s="391">
        <v>1269536351.9200001</v>
      </c>
      <c r="L7" s="391">
        <v>1931453676.3199999</v>
      </c>
    </row>
    <row r="8" spans="1:21" ht="12" customHeight="1" x14ac:dyDescent="0.2">
      <c r="A8" s="646" t="s">
        <v>86</v>
      </c>
      <c r="B8" s="646"/>
      <c r="C8" s="646"/>
      <c r="D8" s="646"/>
      <c r="E8" s="646"/>
      <c r="F8" s="646"/>
      <c r="G8" s="7"/>
      <c r="H8" s="8">
        <v>621167</v>
      </c>
      <c r="I8" s="391">
        <f>+ROUND((H8/$M$2),2)</f>
        <v>82474.509999999995</v>
      </c>
      <c r="J8" s="618"/>
      <c r="K8" s="391">
        <v>82474.509999999995</v>
      </c>
      <c r="L8" s="391">
        <v>84823.51</v>
      </c>
    </row>
    <row r="9" spans="1:21" ht="12" customHeight="1" x14ac:dyDescent="0.2">
      <c r="A9" s="646" t="s">
        <v>87</v>
      </c>
      <c r="B9" s="646"/>
      <c r="C9" s="646"/>
      <c r="D9" s="646"/>
      <c r="E9" s="646"/>
      <c r="F9" s="646"/>
      <c r="G9" s="7" t="s">
        <v>180</v>
      </c>
      <c r="H9" s="8">
        <f>240578432-20965542</f>
        <v>219612890</v>
      </c>
      <c r="I9" s="391">
        <f>+ROUND((H9/$M$2),2)</f>
        <v>29158769.739999998</v>
      </c>
      <c r="J9" s="618"/>
      <c r="K9" s="391">
        <v>29158769.739999998</v>
      </c>
      <c r="L9" s="391">
        <f>34655235.67-380386.94</f>
        <v>34274848.730000004</v>
      </c>
      <c r="M9" s="527" t="s">
        <v>1025</v>
      </c>
      <c r="N9" s="527"/>
      <c r="O9" s="527"/>
      <c r="P9" s="527"/>
      <c r="Q9" s="527"/>
      <c r="R9" s="527"/>
      <c r="S9" s="527"/>
      <c r="T9" s="387"/>
      <c r="U9" s="387"/>
    </row>
    <row r="10" spans="1:21" ht="12" customHeight="1" x14ac:dyDescent="0.2">
      <c r="A10" s="646" t="s">
        <v>88</v>
      </c>
      <c r="B10" s="646"/>
      <c r="C10" s="646"/>
      <c r="D10" s="646"/>
      <c r="E10" s="646"/>
      <c r="F10" s="646"/>
      <c r="G10" s="7" t="s">
        <v>181</v>
      </c>
      <c r="H10" s="8">
        <f>79799111-145950</f>
        <v>79653161</v>
      </c>
      <c r="I10" s="391">
        <f>+ROUND((H10/$M$2),2)</f>
        <v>10575828.130000001</v>
      </c>
      <c r="J10" s="618"/>
      <c r="K10" s="391">
        <v>10575828.130000001</v>
      </c>
      <c r="L10" s="391">
        <f>302402299.87-24239.34</f>
        <v>302378060.53000003</v>
      </c>
      <c r="M10" s="527" t="s">
        <v>1027</v>
      </c>
      <c r="N10" s="527"/>
      <c r="O10" s="527"/>
      <c r="P10" s="527"/>
      <c r="Q10" s="527"/>
      <c r="R10" s="527"/>
      <c r="S10" s="527"/>
      <c r="T10" s="527"/>
      <c r="U10" s="387"/>
    </row>
    <row r="11" spans="1:21" ht="12" customHeight="1" x14ac:dyDescent="0.2">
      <c r="A11" s="644" t="s">
        <v>154</v>
      </c>
      <c r="B11" s="644"/>
      <c r="C11" s="644"/>
      <c r="D11" s="644"/>
      <c r="E11" s="644"/>
      <c r="F11" s="644"/>
      <c r="G11" s="24"/>
      <c r="H11" s="23">
        <f>H12+H13+H17+H21+H22+H23+H26+H33</f>
        <v>24236554711</v>
      </c>
      <c r="I11" s="392">
        <f>I12+I13+I17+I21+I22+I23+I26+I33</f>
        <v>3217971942.1800003</v>
      </c>
      <c r="J11" s="619"/>
      <c r="K11" s="392">
        <f>K12+K13+K17+K21+K22+K23+K26+K33</f>
        <v>3294294096.1800003</v>
      </c>
      <c r="L11" s="392">
        <f>L12+L13+L17+L21+L22+L23+L26+L33</f>
        <v>3600270531.8600001</v>
      </c>
    </row>
    <row r="12" spans="1:21" ht="12" customHeight="1" x14ac:dyDescent="0.2">
      <c r="A12" s="641" t="s">
        <v>89</v>
      </c>
      <c r="B12" s="641"/>
      <c r="C12" s="641"/>
      <c r="D12" s="641"/>
      <c r="E12" s="641"/>
      <c r="F12" s="641"/>
      <c r="G12" s="7"/>
      <c r="H12" s="18"/>
      <c r="I12" s="393"/>
      <c r="J12" s="620"/>
      <c r="K12" s="393"/>
      <c r="L12" s="393"/>
    </row>
    <row r="13" spans="1:21" ht="12" customHeight="1" x14ac:dyDescent="0.2">
      <c r="A13" s="641" t="s">
        <v>155</v>
      </c>
      <c r="B13" s="641"/>
      <c r="C13" s="641"/>
      <c r="D13" s="641"/>
      <c r="E13" s="641"/>
      <c r="F13" s="641"/>
      <c r="G13" s="7"/>
      <c r="H13" s="15">
        <f>SUM(H14:H16)</f>
        <v>22045362788</v>
      </c>
      <c r="I13" s="394">
        <f>SUM(I14:I16)</f>
        <v>2927039744.4200001</v>
      </c>
      <c r="J13" s="621"/>
      <c r="K13" s="394">
        <f>SUM(K14:K16)</f>
        <v>2927039744.4200001</v>
      </c>
      <c r="L13" s="394">
        <f>SUM(L14:L16)</f>
        <v>3154077232.5</v>
      </c>
    </row>
    <row r="14" spans="1:21" ht="12" customHeight="1" x14ac:dyDescent="0.2">
      <c r="A14" s="647" t="s">
        <v>90</v>
      </c>
      <c r="B14" s="647"/>
      <c r="C14" s="647"/>
      <c r="D14" s="647"/>
      <c r="E14" s="647"/>
      <c r="F14" s="647"/>
      <c r="G14" s="7" t="s">
        <v>182</v>
      </c>
      <c r="H14" s="8">
        <v>21460971947</v>
      </c>
      <c r="I14" s="391">
        <f>+ROUND((H14/$M$2),2)</f>
        <v>2849448133.23</v>
      </c>
      <c r="J14" s="618"/>
      <c r="K14" s="391">
        <v>2849448133.23</v>
      </c>
      <c r="L14" s="391">
        <v>2874542730.5900002</v>
      </c>
    </row>
    <row r="15" spans="1:21" ht="12" customHeight="1" x14ac:dyDescent="0.2">
      <c r="A15" s="647" t="s">
        <v>91</v>
      </c>
      <c r="B15" s="647"/>
      <c r="C15" s="647"/>
      <c r="D15" s="647"/>
      <c r="E15" s="647"/>
      <c r="F15" s="647"/>
      <c r="G15" s="7" t="s">
        <v>183</v>
      </c>
      <c r="H15" s="8">
        <f>262957326-20965542</f>
        <v>241991784</v>
      </c>
      <c r="I15" s="391">
        <f>+ROUND((H15/$M$2),2)</f>
        <v>32130093.59</v>
      </c>
      <c r="J15" s="618"/>
      <c r="K15" s="391">
        <v>32130093.59</v>
      </c>
      <c r="L15" s="391">
        <f>236345212.38-380386.94</f>
        <v>235964825.44</v>
      </c>
      <c r="M15" s="527" t="s">
        <v>1025</v>
      </c>
      <c r="N15" s="527"/>
      <c r="O15" s="527"/>
      <c r="P15" s="527"/>
      <c r="Q15" s="527"/>
      <c r="R15" s="527"/>
      <c r="S15" s="527"/>
      <c r="T15" s="387"/>
    </row>
    <row r="16" spans="1:21" ht="12" customHeight="1" x14ac:dyDescent="0.2">
      <c r="A16" s="647" t="s">
        <v>92</v>
      </c>
      <c r="B16" s="647"/>
      <c r="C16" s="647"/>
      <c r="D16" s="647"/>
      <c r="E16" s="647"/>
      <c r="F16" s="647"/>
      <c r="G16" s="7" t="s">
        <v>184</v>
      </c>
      <c r="H16" s="8">
        <v>342399057</v>
      </c>
      <c r="I16" s="391">
        <f>+ROUND((H16/$M$2),2)</f>
        <v>45461517.600000001</v>
      </c>
      <c r="J16" s="618"/>
      <c r="K16" s="391">
        <v>45461517.600000001</v>
      </c>
      <c r="L16" s="391">
        <v>43569676.469999999</v>
      </c>
    </row>
    <row r="17" spans="1:13" ht="12" customHeight="1" x14ac:dyDescent="0.2">
      <c r="A17" s="641" t="s">
        <v>156</v>
      </c>
      <c r="B17" s="641"/>
      <c r="C17" s="641"/>
      <c r="D17" s="641"/>
      <c r="E17" s="641"/>
      <c r="F17" s="641"/>
      <c r="G17" s="7" t="s">
        <v>185</v>
      </c>
      <c r="H17" s="15">
        <f>SUM(H18:H20)</f>
        <v>115151762</v>
      </c>
      <c r="I17" s="394">
        <f>SUM(I18:I20)</f>
        <v>15289101.26</v>
      </c>
      <c r="J17" s="621"/>
      <c r="K17" s="394">
        <f>SUM(K18:K20)</f>
        <v>15289101.26</v>
      </c>
      <c r="L17" s="394">
        <f>SUM(L18:L20)</f>
        <v>15867312.470000003</v>
      </c>
    </row>
    <row r="18" spans="1:13" ht="12" customHeight="1" x14ac:dyDescent="0.2">
      <c r="A18" s="647" t="s">
        <v>93</v>
      </c>
      <c r="B18" s="647"/>
      <c r="C18" s="647"/>
      <c r="D18" s="647"/>
      <c r="E18" s="647"/>
      <c r="F18" s="647"/>
      <c r="G18" s="7"/>
      <c r="H18" s="8">
        <v>68827448</v>
      </c>
      <c r="I18" s="391">
        <f>+ROUND((H18/$M$2),2)</f>
        <v>9138460.4399999995</v>
      </c>
      <c r="J18" s="618"/>
      <c r="K18" s="391">
        <v>9138460.4399999995</v>
      </c>
      <c r="L18" s="391">
        <v>9451831.2300000004</v>
      </c>
    </row>
    <row r="19" spans="1:13" ht="12" customHeight="1" x14ac:dyDescent="0.2">
      <c r="A19" s="647" t="s">
        <v>94</v>
      </c>
      <c r="B19" s="647"/>
      <c r="C19" s="647"/>
      <c r="D19" s="647"/>
      <c r="E19" s="647"/>
      <c r="F19" s="647"/>
      <c r="G19" s="7"/>
      <c r="H19" s="8">
        <v>30809468</v>
      </c>
      <c r="I19" s="391">
        <f>+ROUND((H19/$M$2),2)</f>
        <v>4090680.58</v>
      </c>
      <c r="J19" s="618"/>
      <c r="K19" s="391">
        <v>4090680.58</v>
      </c>
      <c r="L19" s="391">
        <v>4263886.37</v>
      </c>
    </row>
    <row r="20" spans="1:13" ht="12" customHeight="1" x14ac:dyDescent="0.2">
      <c r="A20" s="647" t="s">
        <v>95</v>
      </c>
      <c r="B20" s="647"/>
      <c r="C20" s="647"/>
      <c r="D20" s="647"/>
      <c r="E20" s="647"/>
      <c r="F20" s="647"/>
      <c r="G20" s="7"/>
      <c r="H20" s="8">
        <f>15514846</f>
        <v>15514846</v>
      </c>
      <c r="I20" s="391">
        <f>+ROUND((H20/$M$2),2)</f>
        <v>2059960.24</v>
      </c>
      <c r="J20" s="618"/>
      <c r="K20" s="391">
        <v>2059960.24</v>
      </c>
      <c r="L20" s="391">
        <v>2151594.87</v>
      </c>
    </row>
    <row r="21" spans="1:13" ht="12" customHeight="1" x14ac:dyDescent="0.2">
      <c r="A21" s="641" t="s">
        <v>96</v>
      </c>
      <c r="B21" s="641"/>
      <c r="C21" s="641"/>
      <c r="D21" s="641"/>
      <c r="E21" s="641"/>
      <c r="F21" s="641"/>
      <c r="G21" s="7"/>
      <c r="H21" s="18">
        <v>74156386</v>
      </c>
      <c r="I21" s="395">
        <f>+ROUND((H21/$M$2),2)</f>
        <v>9846002.1400000006</v>
      </c>
      <c r="J21" s="622"/>
      <c r="K21" s="395">
        <v>9846002.1400000006</v>
      </c>
      <c r="L21" s="393">
        <v>13498783.609999999</v>
      </c>
    </row>
    <row r="22" spans="1:13" ht="12" customHeight="1" x14ac:dyDescent="0.2">
      <c r="A22" s="641" t="s">
        <v>97</v>
      </c>
      <c r="B22" s="641"/>
      <c r="C22" s="641"/>
      <c r="D22" s="641"/>
      <c r="E22" s="641"/>
      <c r="F22" s="641"/>
      <c r="G22" s="7" t="s">
        <v>186</v>
      </c>
      <c r="H22" s="18">
        <v>972973784</v>
      </c>
      <c r="I22" s="395">
        <f>+ROUND((H22/$M$2),2)</f>
        <v>129185124.48</v>
      </c>
      <c r="J22" s="622"/>
      <c r="K22" s="395">
        <v>129185124.48</v>
      </c>
      <c r="L22" s="393">
        <v>273742764.13</v>
      </c>
    </row>
    <row r="23" spans="1:13" ht="12" customHeight="1" x14ac:dyDescent="0.2">
      <c r="A23" s="641" t="s">
        <v>157</v>
      </c>
      <c r="B23" s="641"/>
      <c r="C23" s="641"/>
      <c r="D23" s="641"/>
      <c r="E23" s="641"/>
      <c r="F23" s="641"/>
      <c r="G23" s="7"/>
      <c r="H23" s="15">
        <f>SUM(H24:H25)</f>
        <v>9979189</v>
      </c>
      <c r="I23" s="394">
        <f>SUM(I24:I25)</f>
        <v>1324971.75</v>
      </c>
      <c r="J23" s="621"/>
      <c r="K23" s="394">
        <f>SUM(K24:K25)</f>
        <v>1324971.75</v>
      </c>
      <c r="L23" s="394">
        <f>SUM(L24:L25)</f>
        <v>1091115.92</v>
      </c>
    </row>
    <row r="24" spans="1:13" ht="12" customHeight="1" x14ac:dyDescent="0.2">
      <c r="A24" s="647" t="s">
        <v>98</v>
      </c>
      <c r="B24" s="647"/>
      <c r="C24" s="647"/>
      <c r="D24" s="647"/>
      <c r="E24" s="647"/>
      <c r="F24" s="647"/>
      <c r="G24" s="7"/>
      <c r="H24" s="8"/>
      <c r="I24" s="391"/>
      <c r="J24" s="618"/>
      <c r="K24" s="391"/>
      <c r="L24" s="391"/>
    </row>
    <row r="25" spans="1:13" ht="12" customHeight="1" x14ac:dyDescent="0.2">
      <c r="A25" s="647" t="s">
        <v>99</v>
      </c>
      <c r="B25" s="647"/>
      <c r="C25" s="647"/>
      <c r="D25" s="647"/>
      <c r="E25" s="647"/>
      <c r="F25" s="647"/>
      <c r="G25" s="7" t="s">
        <v>187</v>
      </c>
      <c r="H25" s="8">
        <v>9979189</v>
      </c>
      <c r="I25" s="391">
        <f>+ROUND((H25/$M$2),2)</f>
        <v>1324971.75</v>
      </c>
      <c r="J25" s="618"/>
      <c r="K25" s="391">
        <v>1324971.75</v>
      </c>
      <c r="L25" s="391">
        <v>1091115.92</v>
      </c>
    </row>
    <row r="26" spans="1:13" ht="12" customHeight="1" x14ac:dyDescent="0.2">
      <c r="A26" s="641" t="s">
        <v>158</v>
      </c>
      <c r="B26" s="641"/>
      <c r="C26" s="641"/>
      <c r="D26" s="641"/>
      <c r="E26" s="641"/>
      <c r="F26" s="641"/>
      <c r="G26" s="7"/>
      <c r="H26" s="15">
        <f>SUM(H27:H32)</f>
        <v>1400114</v>
      </c>
      <c r="I26" s="394">
        <f>SUM(I27:I32)</f>
        <v>185898.02000000002</v>
      </c>
      <c r="J26" s="621"/>
      <c r="K26" s="394">
        <f>SUM(K27:K32)</f>
        <v>76508052.019999996</v>
      </c>
      <c r="L26" s="394">
        <f>SUM(L27:L32)</f>
        <v>1589305.32</v>
      </c>
    </row>
    <row r="27" spans="1:13" ht="12" customHeight="1" x14ac:dyDescent="0.2">
      <c r="A27" s="647" t="s">
        <v>100</v>
      </c>
      <c r="B27" s="647"/>
      <c r="C27" s="647"/>
      <c r="D27" s="647"/>
      <c r="E27" s="647"/>
      <c r="F27" s="647"/>
      <c r="G27" s="7"/>
      <c r="H27" s="8">
        <v>943980</v>
      </c>
      <c r="I27" s="391">
        <f>+ROUND((H27/$M$2),2)</f>
        <v>125335.52</v>
      </c>
      <c r="J27" s="618"/>
      <c r="K27" s="391">
        <v>125335.52</v>
      </c>
      <c r="L27" s="391"/>
    </row>
    <row r="28" spans="1:13" ht="12" customHeight="1" x14ac:dyDescent="0.2">
      <c r="A28" s="647" t="s">
        <v>101</v>
      </c>
      <c r="B28" s="647"/>
      <c r="C28" s="647"/>
      <c r="D28" s="647"/>
      <c r="E28" s="647"/>
      <c r="F28" s="647"/>
      <c r="G28" s="7"/>
      <c r="H28" s="8"/>
      <c r="I28" s="391"/>
      <c r="J28" s="618"/>
      <c r="K28" s="391"/>
      <c r="L28" s="391"/>
    </row>
    <row r="29" spans="1:13" ht="12" customHeight="1" x14ac:dyDescent="0.2">
      <c r="A29" s="647" t="s">
        <v>102</v>
      </c>
      <c r="B29" s="647"/>
      <c r="C29" s="647"/>
      <c r="D29" s="647"/>
      <c r="E29" s="647"/>
      <c r="F29" s="647"/>
      <c r="G29" s="7"/>
      <c r="H29" s="8">
        <v>456134</v>
      </c>
      <c r="I29" s="391">
        <f>+ROUND((H29/$M$2),2)</f>
        <v>60562.5</v>
      </c>
      <c r="J29" s="618"/>
      <c r="K29" s="391">
        <v>60562.5</v>
      </c>
      <c r="L29" s="391">
        <v>1589305.32</v>
      </c>
    </row>
    <row r="30" spans="1:13" ht="12" customHeight="1" x14ac:dyDescent="0.2">
      <c r="A30" s="647" t="s">
        <v>103</v>
      </c>
      <c r="B30" s="647"/>
      <c r="C30" s="647"/>
      <c r="D30" s="647"/>
      <c r="E30" s="647"/>
      <c r="F30" s="647"/>
      <c r="G30" s="7"/>
      <c r="H30" s="8"/>
      <c r="I30" s="391"/>
      <c r="J30" s="618"/>
      <c r="K30" s="391"/>
      <c r="L30" s="391"/>
    </row>
    <row r="31" spans="1:13" ht="12" customHeight="1" x14ac:dyDescent="0.2">
      <c r="A31" s="647" t="s">
        <v>104</v>
      </c>
      <c r="B31" s="647"/>
      <c r="C31" s="647"/>
      <c r="D31" s="647"/>
      <c r="E31" s="647"/>
      <c r="F31" s="647"/>
      <c r="G31" s="7"/>
      <c r="H31" s="8"/>
      <c r="I31" s="391"/>
      <c r="J31" s="618"/>
      <c r="K31" s="391"/>
      <c r="L31" s="391"/>
    </row>
    <row r="32" spans="1:13" ht="12" customHeight="1" x14ac:dyDescent="0.2">
      <c r="A32" s="647" t="s">
        <v>105</v>
      </c>
      <c r="B32" s="647"/>
      <c r="C32" s="647"/>
      <c r="D32" s="647"/>
      <c r="E32" s="647"/>
      <c r="F32" s="647"/>
      <c r="G32" s="7" t="s">
        <v>188</v>
      </c>
      <c r="H32" s="8"/>
      <c r="I32" s="391"/>
      <c r="J32" s="391">
        <v>76322154</v>
      </c>
      <c r="K32" s="391">
        <v>76322154</v>
      </c>
      <c r="L32" s="391"/>
      <c r="M32" s="12" t="s">
        <v>1105</v>
      </c>
    </row>
    <row r="33" spans="1:26" ht="12" customHeight="1" x14ac:dyDescent="0.2">
      <c r="A33" s="641" t="s">
        <v>106</v>
      </c>
      <c r="B33" s="641"/>
      <c r="C33" s="641"/>
      <c r="D33" s="641"/>
      <c r="E33" s="641"/>
      <c r="F33" s="641"/>
      <c r="G33" s="7" t="s">
        <v>189</v>
      </c>
      <c r="H33" s="18">
        <f>1017676638-145950</f>
        <v>1017530688</v>
      </c>
      <c r="I33" s="395">
        <f>+ROUND((H33/$M$2),2)</f>
        <v>135101100.11000001</v>
      </c>
      <c r="J33" s="622"/>
      <c r="K33" s="395">
        <v>135101100.11000001</v>
      </c>
      <c r="L33" s="393">
        <f>140428257.25-24239.34</f>
        <v>140404017.91</v>
      </c>
      <c r="M33" s="527" t="s">
        <v>1027</v>
      </c>
      <c r="N33" s="527"/>
      <c r="O33" s="527"/>
      <c r="P33" s="527"/>
      <c r="Q33" s="527"/>
      <c r="R33" s="527"/>
      <c r="S33" s="527"/>
      <c r="T33" s="387"/>
      <c r="U33" s="387"/>
    </row>
    <row r="34" spans="1:26" ht="12" customHeight="1" x14ac:dyDescent="0.2">
      <c r="A34" s="644" t="s">
        <v>159</v>
      </c>
      <c r="B34" s="644"/>
      <c r="C34" s="644"/>
      <c r="D34" s="644"/>
      <c r="E34" s="644"/>
      <c r="F34" s="644"/>
      <c r="G34" s="24" t="s">
        <v>190</v>
      </c>
      <c r="H34" s="23">
        <f>SUM(H35:H44)</f>
        <v>873342234</v>
      </c>
      <c r="I34" s="392">
        <f>SUM(I35:I44)</f>
        <v>115956695.94000001</v>
      </c>
      <c r="J34" s="619"/>
      <c r="K34" s="392">
        <f>SUM(K35:K44)</f>
        <v>115956695.94000001</v>
      </c>
      <c r="L34" s="392">
        <f>SUM(L35:L44)</f>
        <v>43940733.089999996</v>
      </c>
    </row>
    <row r="35" spans="1:26" ht="12" customHeight="1" x14ac:dyDescent="0.2">
      <c r="A35" s="646" t="s">
        <v>107</v>
      </c>
      <c r="B35" s="646"/>
      <c r="C35" s="646"/>
      <c r="D35" s="646"/>
      <c r="E35" s="646"/>
      <c r="F35" s="646"/>
      <c r="G35" s="7"/>
      <c r="H35" s="8">
        <v>757046813</v>
      </c>
      <c r="I35" s="391">
        <f>+ROUND((H35/$M$2),2)+0.01</f>
        <v>100515747.08</v>
      </c>
      <c r="J35" s="618"/>
      <c r="K35" s="391">
        <v>100515747.08</v>
      </c>
      <c r="L35" s="391">
        <v>33925209.369999997</v>
      </c>
      <c r="M35" s="507" t="s">
        <v>1018</v>
      </c>
    </row>
    <row r="36" spans="1:26" ht="12.75" customHeight="1" x14ac:dyDescent="0.2">
      <c r="A36" s="646" t="s">
        <v>174</v>
      </c>
      <c r="B36" s="646"/>
      <c r="C36" s="646"/>
      <c r="D36" s="646"/>
      <c r="E36" s="646"/>
      <c r="F36" s="646"/>
      <c r="G36" s="7"/>
      <c r="H36" s="8"/>
      <c r="I36" s="391"/>
      <c r="J36" s="618"/>
      <c r="K36" s="391"/>
      <c r="L36" s="391"/>
    </row>
    <row r="37" spans="1:26" ht="22.5" customHeight="1" x14ac:dyDescent="0.2">
      <c r="A37" s="646" t="s">
        <v>108</v>
      </c>
      <c r="B37" s="646"/>
      <c r="C37" s="646"/>
      <c r="D37" s="646"/>
      <c r="E37" s="646"/>
      <c r="F37" s="646"/>
      <c r="G37" s="7"/>
      <c r="H37" s="8"/>
      <c r="I37" s="391"/>
      <c r="J37" s="618"/>
      <c r="K37" s="391"/>
      <c r="L37" s="391"/>
    </row>
    <row r="38" spans="1:26" ht="13.5" customHeight="1" x14ac:dyDescent="0.2">
      <c r="A38" s="646" t="s">
        <v>109</v>
      </c>
      <c r="B38" s="646"/>
      <c r="C38" s="646"/>
      <c r="D38" s="646"/>
      <c r="E38" s="646"/>
      <c r="F38" s="646"/>
      <c r="G38" s="7"/>
      <c r="H38" s="8">
        <v>109647761</v>
      </c>
      <c r="I38" s="391">
        <f>+ROUND((H38/$M$2),2)</f>
        <v>14558315.84</v>
      </c>
      <c r="J38" s="618"/>
      <c r="K38" s="391">
        <v>14558315.84</v>
      </c>
      <c r="L38" s="391">
        <v>4776532.5</v>
      </c>
    </row>
    <row r="39" spans="1:26" ht="21" customHeight="1" x14ac:dyDescent="0.2">
      <c r="A39" s="646" t="s">
        <v>110</v>
      </c>
      <c r="B39" s="646"/>
      <c r="C39" s="646"/>
      <c r="D39" s="646"/>
      <c r="E39" s="646"/>
      <c r="F39" s="646"/>
      <c r="G39" s="7"/>
      <c r="H39" s="8">
        <f>2624130-839174</f>
        <v>1784956</v>
      </c>
      <c r="I39" s="391">
        <f>+ROUND((H39/$M$2),2)</f>
        <v>236994.84</v>
      </c>
      <c r="J39" s="618"/>
      <c r="K39" s="391">
        <v>236994.84</v>
      </c>
      <c r="L39" s="391"/>
      <c r="M39" s="387"/>
      <c r="N39" s="387"/>
      <c r="O39" s="387"/>
      <c r="P39" s="387"/>
      <c r="Q39" s="387"/>
      <c r="R39" s="387"/>
      <c r="S39" s="387"/>
      <c r="T39" s="387"/>
      <c r="U39" s="387"/>
    </row>
    <row r="40" spans="1:26" ht="12" customHeight="1" x14ac:dyDescent="0.2">
      <c r="A40" s="646" t="s">
        <v>111</v>
      </c>
      <c r="B40" s="646"/>
      <c r="C40" s="646"/>
      <c r="D40" s="646"/>
      <c r="E40" s="646"/>
      <c r="F40" s="646"/>
      <c r="G40" s="7"/>
      <c r="H40" s="8"/>
      <c r="I40" s="391"/>
      <c r="J40" s="618"/>
      <c r="K40" s="391"/>
      <c r="L40" s="391"/>
    </row>
    <row r="41" spans="1:26" ht="12" customHeight="1" x14ac:dyDescent="0.2">
      <c r="A41" s="646" t="s">
        <v>112</v>
      </c>
      <c r="B41" s="646"/>
      <c r="C41" s="646"/>
      <c r="D41" s="646"/>
      <c r="E41" s="646"/>
      <c r="F41" s="646"/>
      <c r="G41" s="7"/>
      <c r="H41" s="8">
        <v>745289</v>
      </c>
      <c r="I41" s="391">
        <f>+ROUND((H41/$M$2),2)</f>
        <v>98954.62</v>
      </c>
      <c r="J41" s="618"/>
      <c r="K41" s="391">
        <v>98954.62</v>
      </c>
      <c r="L41" s="391">
        <v>533039.81999999995</v>
      </c>
    </row>
    <row r="42" spans="1:26" ht="12" customHeight="1" x14ac:dyDescent="0.2">
      <c r="A42" s="646" t="s">
        <v>113</v>
      </c>
      <c r="B42" s="646"/>
      <c r="C42" s="646"/>
      <c r="D42" s="646"/>
      <c r="E42" s="646"/>
      <c r="F42" s="646"/>
      <c r="G42" s="7"/>
      <c r="H42" s="8"/>
      <c r="I42" s="391"/>
      <c r="J42" s="618"/>
      <c r="K42" s="391"/>
      <c r="L42" s="391">
        <f>4393162.72-309072.44</f>
        <v>4084090.28</v>
      </c>
      <c r="M42" s="528" t="s">
        <v>1104</v>
      </c>
      <c r="N42" s="528"/>
      <c r="O42" s="528"/>
      <c r="P42" s="528"/>
      <c r="Q42" s="528"/>
      <c r="R42" s="528"/>
      <c r="S42" s="528"/>
      <c r="T42" s="528"/>
      <c r="U42" s="528"/>
      <c r="V42" s="387"/>
    </row>
    <row r="43" spans="1:26" ht="12" customHeight="1" x14ac:dyDescent="0.2">
      <c r="A43" s="646" t="s">
        <v>114</v>
      </c>
      <c r="B43" s="646"/>
      <c r="C43" s="646"/>
      <c r="D43" s="646"/>
      <c r="E43" s="646"/>
      <c r="F43" s="646"/>
      <c r="G43" s="7"/>
      <c r="H43" s="8"/>
      <c r="I43" s="391"/>
      <c r="J43" s="618"/>
      <c r="K43" s="391"/>
      <c r="L43" s="391"/>
    </row>
    <row r="44" spans="1:26" ht="12" customHeight="1" x14ac:dyDescent="0.2">
      <c r="A44" s="646" t="s">
        <v>115</v>
      </c>
      <c r="B44" s="646"/>
      <c r="C44" s="646"/>
      <c r="D44" s="646"/>
      <c r="E44" s="646"/>
      <c r="F44" s="646"/>
      <c r="G44" s="7"/>
      <c r="H44" s="8">
        <v>4117415</v>
      </c>
      <c r="I44" s="391">
        <f>+ROUND((H44/$M$2),2)</f>
        <v>546683.56000000006</v>
      </c>
      <c r="J44" s="618"/>
      <c r="K44" s="391">
        <v>546683.56000000006</v>
      </c>
      <c r="L44" s="391">
        <v>621861.12</v>
      </c>
    </row>
    <row r="45" spans="1:26" ht="12" customHeight="1" x14ac:dyDescent="0.2">
      <c r="A45" s="644" t="s">
        <v>160</v>
      </c>
      <c r="B45" s="644"/>
      <c r="C45" s="644"/>
      <c r="D45" s="644"/>
      <c r="E45" s="644"/>
      <c r="F45" s="644"/>
      <c r="G45" s="24" t="s">
        <v>191</v>
      </c>
      <c r="H45" s="23">
        <f>SUM(H46:H52)</f>
        <v>275378636</v>
      </c>
      <c r="I45" s="392">
        <f>SUM(I46:I52)</f>
        <v>36562982.43</v>
      </c>
      <c r="J45" s="619"/>
      <c r="K45" s="392">
        <f>SUM(K46:K52)</f>
        <v>36562982.43</v>
      </c>
      <c r="L45" s="392">
        <f>SUM(L46:L52)</f>
        <v>102323712.33999999</v>
      </c>
      <c r="R45" s="528"/>
      <c r="S45" s="528"/>
      <c r="T45" s="528"/>
      <c r="U45" s="528"/>
      <c r="V45" s="528"/>
      <c r="W45" s="528"/>
      <c r="X45" s="528"/>
      <c r="Y45" s="528"/>
      <c r="Z45" s="528"/>
    </row>
    <row r="46" spans="1:26" ht="12" customHeight="1" x14ac:dyDescent="0.2">
      <c r="A46" s="646" t="s">
        <v>116</v>
      </c>
      <c r="B46" s="646"/>
      <c r="C46" s="646"/>
      <c r="D46" s="646"/>
      <c r="E46" s="646"/>
      <c r="F46" s="646"/>
      <c r="G46" s="7"/>
      <c r="H46" s="8">
        <v>168202</v>
      </c>
      <c r="I46" s="391">
        <f>+ROUND((H46/$M$2),2)</f>
        <v>22332.77</v>
      </c>
      <c r="J46" s="618"/>
      <c r="K46" s="391">
        <v>22332.77</v>
      </c>
      <c r="L46" s="391">
        <v>485112.71</v>
      </c>
    </row>
    <row r="47" spans="1:26" ht="12" customHeight="1" x14ac:dyDescent="0.2">
      <c r="A47" s="642" t="s">
        <v>117</v>
      </c>
      <c r="B47" s="642"/>
      <c r="C47" s="642"/>
      <c r="D47" s="642"/>
      <c r="E47" s="642"/>
      <c r="F47" s="642"/>
      <c r="G47" s="7"/>
      <c r="H47" s="8"/>
      <c r="I47" s="391"/>
      <c r="J47" s="618"/>
      <c r="K47" s="391"/>
      <c r="L47" s="391"/>
      <c r="M47" s="387"/>
      <c r="N47" s="387"/>
      <c r="O47" s="387"/>
      <c r="P47" s="387"/>
      <c r="Q47" s="387"/>
      <c r="R47" s="387"/>
      <c r="S47" s="387"/>
      <c r="T47" s="387"/>
      <c r="U47" s="387"/>
    </row>
    <row r="48" spans="1:26" ht="12" customHeight="1" x14ac:dyDescent="0.2">
      <c r="A48" s="642" t="s">
        <v>118</v>
      </c>
      <c r="B48" s="642"/>
      <c r="C48" s="642"/>
      <c r="D48" s="642"/>
      <c r="E48" s="642"/>
      <c r="F48" s="642"/>
      <c r="G48" s="7"/>
      <c r="H48" s="8">
        <v>243877064</v>
      </c>
      <c r="I48" s="391">
        <f>+ROUND((H48/$M$2),2)</f>
        <v>32380408.789999999</v>
      </c>
      <c r="J48" s="618"/>
      <c r="K48" s="391">
        <v>32380408.789999999</v>
      </c>
      <c r="L48" s="391">
        <v>69696599.629999995</v>
      </c>
    </row>
    <row r="49" spans="1:22" ht="12" customHeight="1" x14ac:dyDescent="0.2">
      <c r="A49" s="642" t="s">
        <v>119</v>
      </c>
      <c r="B49" s="642"/>
      <c r="C49" s="642"/>
      <c r="D49" s="642"/>
      <c r="E49" s="642"/>
      <c r="F49" s="642"/>
      <c r="G49" s="7"/>
      <c r="H49" s="8">
        <f>689050196-664535525</f>
        <v>24514671</v>
      </c>
      <c r="I49" s="391">
        <f>+ROUND((H49/$M$2),2)</f>
        <v>3254898.41</v>
      </c>
      <c r="J49" s="618"/>
      <c r="K49" s="391">
        <v>3254898.41</v>
      </c>
      <c r="L49" s="391"/>
      <c r="M49" s="528" t="s">
        <v>1104</v>
      </c>
      <c r="N49" s="528"/>
      <c r="O49" s="528"/>
      <c r="P49" s="528"/>
      <c r="Q49" s="528"/>
      <c r="R49" s="528"/>
      <c r="S49" s="528"/>
      <c r="T49" s="528"/>
      <c r="U49" s="528"/>
    </row>
    <row r="50" spans="1:22" ht="12" customHeight="1" x14ac:dyDescent="0.2">
      <c r="A50" s="642" t="s">
        <v>120</v>
      </c>
      <c r="B50" s="642"/>
      <c r="C50" s="642"/>
      <c r="D50" s="642"/>
      <c r="E50" s="642"/>
      <c r="F50" s="642"/>
      <c r="G50" s="7"/>
      <c r="H50" s="8">
        <v>6818699</v>
      </c>
      <c r="I50" s="391">
        <f>+ROUND((H50/$M$2),2)</f>
        <v>905342.46</v>
      </c>
      <c r="J50" s="618"/>
      <c r="K50" s="391">
        <v>905342.46</v>
      </c>
      <c r="L50" s="391"/>
    </row>
    <row r="51" spans="1:22" ht="12" customHeight="1" x14ac:dyDescent="0.2">
      <c r="A51" s="642" t="s">
        <v>121</v>
      </c>
      <c r="B51" s="642"/>
      <c r="C51" s="642"/>
      <c r="D51" s="642"/>
      <c r="E51" s="642"/>
      <c r="F51" s="642"/>
      <c r="G51" s="7"/>
      <c r="H51" s="8"/>
      <c r="I51" s="391"/>
      <c r="J51" s="618"/>
      <c r="K51" s="391"/>
      <c r="L51" s="391"/>
    </row>
    <row r="52" spans="1:22" ht="12" customHeight="1" x14ac:dyDescent="0.2">
      <c r="A52" s="642" t="s">
        <v>122</v>
      </c>
      <c r="B52" s="642"/>
      <c r="C52" s="642"/>
      <c r="D52" s="642"/>
      <c r="E52" s="642"/>
      <c r="F52" s="642"/>
      <c r="G52" s="7"/>
      <c r="H52" s="8"/>
      <c r="I52" s="391"/>
      <c r="J52" s="618"/>
      <c r="K52" s="391"/>
      <c r="L52" s="391">
        <v>32142000</v>
      </c>
      <c r="R52" s="379"/>
    </row>
    <row r="53" spans="1:22" ht="12" customHeight="1" x14ac:dyDescent="0.2">
      <c r="A53" s="645" t="s">
        <v>175</v>
      </c>
      <c r="B53" s="645"/>
      <c r="C53" s="645"/>
      <c r="D53" s="645"/>
      <c r="E53" s="645"/>
      <c r="F53" s="645"/>
      <c r="G53" s="24"/>
      <c r="H53" s="25"/>
      <c r="I53" s="396"/>
      <c r="J53" s="623"/>
      <c r="K53" s="396"/>
      <c r="L53" s="396"/>
      <c r="R53" s="378"/>
    </row>
    <row r="54" spans="1:22" ht="12" customHeight="1" x14ac:dyDescent="0.2">
      <c r="A54" s="644" t="s">
        <v>123</v>
      </c>
      <c r="B54" s="644"/>
      <c r="C54" s="644"/>
      <c r="D54" s="644"/>
      <c r="E54" s="644"/>
      <c r="F54" s="644"/>
      <c r="G54" s="24"/>
      <c r="H54" s="25"/>
      <c r="I54" s="396"/>
      <c r="J54" s="623"/>
      <c r="K54" s="396"/>
      <c r="L54" s="396"/>
      <c r="R54" s="379"/>
    </row>
    <row r="55" spans="1:22" ht="12" customHeight="1" x14ac:dyDescent="0.2">
      <c r="A55" s="645" t="s">
        <v>176</v>
      </c>
      <c r="B55" s="645"/>
      <c r="C55" s="645"/>
      <c r="D55" s="645"/>
      <c r="E55" s="645"/>
      <c r="F55" s="645"/>
      <c r="G55" s="24"/>
      <c r="H55" s="25"/>
      <c r="I55" s="396"/>
      <c r="J55" s="623"/>
      <c r="K55" s="396"/>
      <c r="L55" s="396"/>
    </row>
    <row r="56" spans="1:22" ht="12" customHeight="1" x14ac:dyDescent="0.2">
      <c r="A56" s="644" t="s">
        <v>124</v>
      </c>
      <c r="B56" s="644"/>
      <c r="C56" s="644"/>
      <c r="D56" s="644"/>
      <c r="E56" s="644"/>
      <c r="F56" s="644"/>
      <c r="G56" s="24"/>
      <c r="H56" s="25"/>
      <c r="I56" s="396"/>
      <c r="J56" s="623"/>
      <c r="K56" s="396"/>
      <c r="L56" s="396"/>
    </row>
    <row r="57" spans="1:22" ht="12" customHeight="1" x14ac:dyDescent="0.2">
      <c r="A57" s="644" t="s">
        <v>161</v>
      </c>
      <c r="B57" s="644"/>
      <c r="C57" s="644"/>
      <c r="D57" s="644"/>
      <c r="E57" s="644"/>
      <c r="F57" s="644"/>
      <c r="G57" s="24"/>
      <c r="H57" s="23">
        <f>H53+H54+H34+H5</f>
        <v>18643428237</v>
      </c>
      <c r="I57" s="392">
        <f>I53+I54+I34+I5</f>
        <v>2475353023.0700002</v>
      </c>
      <c r="J57" s="619"/>
      <c r="K57" s="392">
        <f>K53+K54+K34+K5</f>
        <v>2475353023.0700002</v>
      </c>
      <c r="L57" s="392">
        <f>L53+L54+L34+L5</f>
        <v>3661670248.6400003</v>
      </c>
      <c r="M57" s="499">
        <f>+ROUND((H57/M2),2)</f>
        <v>2475353023.0700002</v>
      </c>
    </row>
    <row r="58" spans="1:22" ht="12" customHeight="1" x14ac:dyDescent="0.2">
      <c r="A58" s="644" t="s">
        <v>162</v>
      </c>
      <c r="B58" s="644"/>
      <c r="C58" s="644"/>
      <c r="D58" s="644"/>
      <c r="E58" s="644"/>
      <c r="F58" s="644"/>
      <c r="G58" s="24"/>
      <c r="H58" s="23">
        <f>H56+H55+H45+H11</f>
        <v>24511933347</v>
      </c>
      <c r="I58" s="392">
        <f>I56+I55+I45+I11</f>
        <v>3254534924.6100001</v>
      </c>
      <c r="J58" s="619"/>
      <c r="K58" s="392">
        <f>K56+K55+K45+K11</f>
        <v>3330857078.6100001</v>
      </c>
      <c r="L58" s="392">
        <f>L56+L55+L45+L11</f>
        <v>3702594244.2000003</v>
      </c>
      <c r="M58" s="499">
        <f>+ROUND((H58/M2),2)</f>
        <v>3254534924.6100001</v>
      </c>
    </row>
    <row r="59" spans="1:22" ht="12" customHeight="1" x14ac:dyDescent="0.2">
      <c r="A59" s="644" t="s">
        <v>163</v>
      </c>
      <c r="B59" s="644"/>
      <c r="C59" s="644"/>
      <c r="D59" s="644"/>
      <c r="E59" s="644"/>
      <c r="F59" s="644"/>
      <c r="G59" s="24"/>
      <c r="H59" s="23">
        <f>H57-H58</f>
        <v>-5868505110</v>
      </c>
      <c r="I59" s="392">
        <f>I57-I58</f>
        <v>-779181901.53999996</v>
      </c>
      <c r="J59" s="619"/>
      <c r="K59" s="392">
        <f>K57-K58</f>
        <v>-855504055.53999996</v>
      </c>
      <c r="L59" s="392">
        <f>L57-L58</f>
        <v>-40923995.559999943</v>
      </c>
    </row>
    <row r="60" spans="1:22" ht="12" customHeight="1" x14ac:dyDescent="0.2">
      <c r="A60" s="642" t="s">
        <v>164</v>
      </c>
      <c r="B60" s="642"/>
      <c r="C60" s="642"/>
      <c r="D60" s="642"/>
      <c r="E60" s="642"/>
      <c r="F60" s="642"/>
      <c r="G60" s="7"/>
      <c r="H60" s="14"/>
      <c r="I60" s="397"/>
      <c r="J60" s="624"/>
      <c r="K60" s="397"/>
      <c r="L60" s="397"/>
    </row>
    <row r="61" spans="1:22" ht="12" customHeight="1" x14ac:dyDescent="0.2">
      <c r="A61" s="642" t="s">
        <v>165</v>
      </c>
      <c r="B61" s="642"/>
      <c r="C61" s="642"/>
      <c r="D61" s="642"/>
      <c r="E61" s="642"/>
      <c r="F61" s="642"/>
      <c r="G61" s="7"/>
      <c r="H61" s="14">
        <f>H58-H57</f>
        <v>5868505110</v>
      </c>
      <c r="I61" s="397">
        <f>I58-I57</f>
        <v>779181901.53999996</v>
      </c>
      <c r="J61" s="624"/>
      <c r="K61" s="397">
        <f>K58-K57</f>
        <v>855504055.53999996</v>
      </c>
      <c r="L61" s="397">
        <f>L58-L57</f>
        <v>40923995.559999943</v>
      </c>
    </row>
    <row r="62" spans="1:22" ht="12" customHeight="1" x14ac:dyDescent="0.2">
      <c r="A62" s="644" t="s">
        <v>125</v>
      </c>
      <c r="B62" s="644"/>
      <c r="C62" s="644"/>
      <c r="D62" s="644"/>
      <c r="E62" s="644"/>
      <c r="F62" s="644"/>
      <c r="G62" s="7" t="s">
        <v>192</v>
      </c>
      <c r="H62" s="25">
        <v>-1190387793</v>
      </c>
      <c r="I62" s="406">
        <f>+ROUND((H62/$M$2),2)</f>
        <v>-158051941.12</v>
      </c>
      <c r="J62" s="625">
        <v>-13737987.720000001</v>
      </c>
      <c r="K62" s="406">
        <f>-158051941.12-13737987.72</f>
        <v>-171789928.84</v>
      </c>
      <c r="L62" s="396">
        <f>-7529772.11+13737987.72</f>
        <v>6208215.6100000003</v>
      </c>
      <c r="M62" s="12" t="s">
        <v>1134</v>
      </c>
    </row>
    <row r="63" spans="1:22" ht="12" customHeight="1" x14ac:dyDescent="0.2">
      <c r="A63" s="644" t="s">
        <v>166</v>
      </c>
      <c r="B63" s="644"/>
      <c r="C63" s="644"/>
      <c r="D63" s="644"/>
      <c r="E63" s="644"/>
      <c r="F63" s="644"/>
      <c r="G63" s="24"/>
      <c r="H63" s="23">
        <f>H59-H62</f>
        <v>-4678117317</v>
      </c>
      <c r="I63" s="392">
        <f>I59-I62</f>
        <v>-621129960.41999996</v>
      </c>
      <c r="J63" s="619"/>
      <c r="K63" s="392">
        <f>K59-K62</f>
        <v>-683714126.69999993</v>
      </c>
      <c r="L63" s="392">
        <f>L59-L62</f>
        <v>-47132211.169999942</v>
      </c>
      <c r="M63" s="629">
        <v>7.5316239999999999</v>
      </c>
      <c r="N63" s="630">
        <v>7.5345000000000004</v>
      </c>
      <c r="O63" s="648" t="s">
        <v>1014</v>
      </c>
      <c r="P63" s="599"/>
      <c r="Q63" s="599"/>
      <c r="R63" s="599"/>
      <c r="S63" s="599"/>
      <c r="T63" s="599"/>
      <c r="U63" s="599"/>
      <c r="V63" s="599"/>
    </row>
    <row r="64" spans="1:22" ht="12" customHeight="1" x14ac:dyDescent="0.2">
      <c r="A64" s="642" t="s">
        <v>167</v>
      </c>
      <c r="B64" s="642"/>
      <c r="C64" s="642"/>
      <c r="D64" s="642"/>
      <c r="E64" s="642"/>
      <c r="F64" s="642"/>
      <c r="G64" s="7"/>
      <c r="H64" s="14"/>
      <c r="I64" s="397"/>
      <c r="J64" s="624"/>
      <c r="K64" s="397"/>
      <c r="L64" s="397"/>
      <c r="M64" s="631" t="s">
        <v>1010</v>
      </c>
      <c r="N64" s="632" t="s">
        <v>1009</v>
      </c>
      <c r="O64" s="649"/>
      <c r="P64" s="599"/>
      <c r="Q64" s="599"/>
      <c r="R64" s="599"/>
      <c r="S64" s="599"/>
      <c r="T64" s="599"/>
      <c r="U64" s="599"/>
      <c r="V64" s="599"/>
    </row>
    <row r="65" spans="1:23" ht="12" customHeight="1" x14ac:dyDescent="0.25">
      <c r="A65" s="643" t="s">
        <v>168</v>
      </c>
      <c r="B65" s="643"/>
      <c r="C65" s="643"/>
      <c r="D65" s="643"/>
      <c r="E65" s="643"/>
      <c r="F65" s="643"/>
      <c r="G65" s="9"/>
      <c r="H65" s="16">
        <f>H62-H59</f>
        <v>4678117317</v>
      </c>
      <c r="I65" s="398">
        <f>I62-I59</f>
        <v>621129960.41999996</v>
      </c>
      <c r="J65" s="398">
        <f>SUM(J5:J64)</f>
        <v>62584166.280000001</v>
      </c>
      <c r="K65" s="398">
        <f>K62-K59</f>
        <v>683714126.69999993</v>
      </c>
      <c r="L65" s="398">
        <f>L62-L59</f>
        <v>47132211.169999942</v>
      </c>
      <c r="M65" s="499">
        <f>+ROUND((H65/M63),2)</f>
        <v>621129960.41999996</v>
      </c>
      <c r="N65" s="633">
        <f>+ROUND((H65/N63),2)</f>
        <v>620892868.40999997</v>
      </c>
      <c r="O65" s="634">
        <f>M65-N65</f>
        <v>237092.00999999046</v>
      </c>
      <c r="P65" s="635" t="s">
        <v>1017</v>
      </c>
      <c r="Q65" s="635"/>
      <c r="R65" s="635"/>
      <c r="S65" s="635"/>
      <c r="T65" s="635"/>
      <c r="U65" s="635"/>
      <c r="V65" s="599"/>
      <c r="W65" s="497"/>
    </row>
  </sheetData>
  <mergeCells count="66">
    <mergeCell ref="O63:O64"/>
    <mergeCell ref="A7:F7"/>
    <mergeCell ref="A8:F8"/>
    <mergeCell ref="A9:F9"/>
    <mergeCell ref="A10:F10"/>
    <mergeCell ref="A11:F11"/>
    <mergeCell ref="A12:F12"/>
    <mergeCell ref="A1:L1"/>
    <mergeCell ref="A2:L2"/>
    <mergeCell ref="A4:F4"/>
    <mergeCell ref="A5:F5"/>
    <mergeCell ref="A6:F6"/>
    <mergeCell ref="A3:G3"/>
    <mergeCell ref="A19:F19"/>
    <mergeCell ref="A20:F20"/>
    <mergeCell ref="A21:F21"/>
    <mergeCell ref="A22:F22"/>
    <mergeCell ref="A23:F23"/>
    <mergeCell ref="A24:F24"/>
    <mergeCell ref="A13:F13"/>
    <mergeCell ref="A14:F14"/>
    <mergeCell ref="A15:F15"/>
    <mergeCell ref="A16:F16"/>
    <mergeCell ref="A17:F17"/>
    <mergeCell ref="A18:F18"/>
    <mergeCell ref="A31:F31"/>
    <mergeCell ref="A32:F32"/>
    <mergeCell ref="A33:F33"/>
    <mergeCell ref="A34:F34"/>
    <mergeCell ref="A35:F35"/>
    <mergeCell ref="A36:F36"/>
    <mergeCell ref="A25:F25"/>
    <mergeCell ref="A26:F26"/>
    <mergeCell ref="A27:F27"/>
    <mergeCell ref="A28:F28"/>
    <mergeCell ref="A29:F29"/>
    <mergeCell ref="A30:F30"/>
    <mergeCell ref="A43:F43"/>
    <mergeCell ref="A44:F44"/>
    <mergeCell ref="A45:F45"/>
    <mergeCell ref="A46:F46"/>
    <mergeCell ref="A47:F47"/>
    <mergeCell ref="A48:F48"/>
    <mergeCell ref="A37:F37"/>
    <mergeCell ref="A38:F38"/>
    <mergeCell ref="A39:F39"/>
    <mergeCell ref="A40:F40"/>
    <mergeCell ref="A41:F41"/>
    <mergeCell ref="A42:F42"/>
    <mergeCell ref="A55:F55"/>
    <mergeCell ref="A56:F56"/>
    <mergeCell ref="A57:F57"/>
    <mergeCell ref="A58:F58"/>
    <mergeCell ref="A59:F59"/>
    <mergeCell ref="A60:F60"/>
    <mergeCell ref="A49:F49"/>
    <mergeCell ref="A50:F50"/>
    <mergeCell ref="A51:F51"/>
    <mergeCell ref="A52:F52"/>
    <mergeCell ref="A53:F53"/>
    <mergeCell ref="A54:F54"/>
    <mergeCell ref="A61:F61"/>
    <mergeCell ref="A62:F62"/>
    <mergeCell ref="A63:F63"/>
    <mergeCell ref="A64:F64"/>
    <mergeCell ref="A65:F65"/>
  </mergeCells>
  <printOptions horizontalCentered="1"/>
  <pageMargins left="0.39370078740157499" right="0.39370078740157499" top="0.59055118110236204" bottom="0.196850393700787" header="0.196850393700787" footer="0.31496062992126"/>
  <pageSetup paperSize="9" scale="85" orientation="portrait" r:id="rId1"/>
  <headerFooter>
    <oddHeader xml:space="preserve">&amp;L       &amp;G&amp;R 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>
      <selection activeCell="R20" sqref="R20"/>
    </sheetView>
  </sheetViews>
  <sheetFormatPr defaultRowHeight="12" x14ac:dyDescent="0.2"/>
  <cols>
    <col min="1" max="5" width="9.140625" style="12"/>
    <col min="6" max="6" width="25.7109375" style="12" customWidth="1"/>
    <col min="7" max="7" width="6.140625" style="12" customWidth="1"/>
    <col min="8" max="9" width="14.5703125" style="12" hidden="1" customWidth="1"/>
    <col min="10" max="11" width="14.5703125" style="12" customWidth="1"/>
    <col min="12" max="12" width="13.85546875" style="12" hidden="1" customWidth="1"/>
    <col min="13" max="13" width="13.140625" style="12" hidden="1" customWidth="1"/>
    <col min="14" max="14" width="13.140625" style="12" customWidth="1"/>
    <col min="15" max="15" width="13.42578125" style="12" customWidth="1"/>
    <col min="16" max="16384" width="9.140625" style="12"/>
  </cols>
  <sheetData>
    <row r="1" spans="1:17" ht="21" x14ac:dyDescent="0.2">
      <c r="A1" s="650" t="s">
        <v>169</v>
      </c>
      <c r="B1" s="651"/>
      <c r="C1" s="651"/>
      <c r="D1" s="651"/>
      <c r="E1" s="651"/>
      <c r="F1" s="651"/>
      <c r="G1" s="651"/>
      <c r="H1" s="651"/>
      <c r="I1" s="651"/>
      <c r="J1" s="651"/>
      <c r="K1" s="652"/>
    </row>
    <row r="2" spans="1:17" ht="16.5" thickBot="1" x14ac:dyDescent="0.3">
      <c r="A2" s="653" t="str">
        <f>'RDG '!A2:L2</f>
        <v>za razdoblje 1.1.2023. do 31.12.2023.</v>
      </c>
      <c r="B2" s="662"/>
      <c r="C2" s="662"/>
      <c r="D2" s="662"/>
      <c r="E2" s="662"/>
      <c r="F2" s="662"/>
      <c r="G2" s="662"/>
      <c r="H2" s="662"/>
      <c r="I2" s="662"/>
      <c r="J2" s="662"/>
      <c r="K2" s="663"/>
      <c r="L2" s="388">
        <v>7.5316239999999999</v>
      </c>
    </row>
    <row r="3" spans="1:17" ht="15.75" customHeight="1" thickTop="1" x14ac:dyDescent="0.2">
      <c r="A3" s="657" t="s">
        <v>170</v>
      </c>
      <c r="B3" s="658"/>
      <c r="C3" s="658"/>
      <c r="D3" s="658"/>
      <c r="E3" s="658"/>
      <c r="F3" s="658"/>
      <c r="G3" s="658"/>
      <c r="H3" s="22" t="s">
        <v>171</v>
      </c>
      <c r="I3" s="22" t="s">
        <v>1005</v>
      </c>
      <c r="J3" s="22"/>
      <c r="K3" s="22" t="s">
        <v>1005</v>
      </c>
    </row>
    <row r="4" spans="1:17" customFormat="1" ht="25.5" customHeight="1" x14ac:dyDescent="0.25">
      <c r="A4" s="655" t="s">
        <v>0</v>
      </c>
      <c r="B4" s="655"/>
      <c r="C4" s="655"/>
      <c r="D4" s="655"/>
      <c r="E4" s="655"/>
      <c r="F4" s="655"/>
      <c r="G4" s="339" t="s">
        <v>144</v>
      </c>
      <c r="H4" s="381" t="s">
        <v>907</v>
      </c>
      <c r="I4" s="381" t="s">
        <v>907</v>
      </c>
      <c r="J4" s="627" t="s">
        <v>1130</v>
      </c>
      <c r="K4" s="339" t="str">
        <f>'RDG '!L4</f>
        <v>31.12.2023.</v>
      </c>
    </row>
    <row r="5" spans="1:17" ht="12" customHeight="1" x14ac:dyDescent="0.2">
      <c r="A5" s="644" t="s">
        <v>126</v>
      </c>
      <c r="B5" s="644"/>
      <c r="C5" s="644"/>
      <c r="D5" s="644"/>
      <c r="E5" s="644"/>
      <c r="F5" s="644"/>
      <c r="G5" s="30"/>
      <c r="H5" s="31">
        <f>-'RDG '!H65</f>
        <v>-4678117317</v>
      </c>
      <c r="I5" s="399">
        <f>-'RDG '!I65</f>
        <v>-621129960.41999996</v>
      </c>
      <c r="J5" s="399">
        <f>-'RDG '!K65</f>
        <v>-683714126.69999993</v>
      </c>
      <c r="K5" s="399">
        <f>-'RDG '!L65</f>
        <v>-47132211.169999942</v>
      </c>
    </row>
    <row r="6" spans="1:17" ht="12" customHeight="1" x14ac:dyDescent="0.2">
      <c r="A6" s="645" t="s">
        <v>177</v>
      </c>
      <c r="B6" s="645"/>
      <c r="C6" s="645"/>
      <c r="D6" s="645"/>
      <c r="E6" s="645"/>
      <c r="F6" s="645"/>
      <c r="G6" s="30"/>
      <c r="H6" s="32">
        <f>H7+H14</f>
        <v>36585916</v>
      </c>
      <c r="I6" s="400">
        <f>I7+I14</f>
        <v>5094731.74</v>
      </c>
      <c r="J6" s="400">
        <f>J7+J14</f>
        <v>5094731.74</v>
      </c>
      <c r="K6" s="400">
        <f>SUM(K8:K23)</f>
        <v>1447832.88</v>
      </c>
    </row>
    <row r="7" spans="1:17" ht="12" customHeight="1" x14ac:dyDescent="0.2">
      <c r="A7" s="645" t="s">
        <v>195</v>
      </c>
      <c r="B7" s="645"/>
      <c r="C7" s="645"/>
      <c r="D7" s="645"/>
      <c r="E7" s="645"/>
      <c r="F7" s="645"/>
      <c r="G7" s="30"/>
      <c r="H7" s="32">
        <f>H8+H9+H10+H11+H12+H13</f>
        <v>36585916</v>
      </c>
      <c r="I7" s="400">
        <f>I8+I9+I10+I11+I12+I13</f>
        <v>5094731.74</v>
      </c>
      <c r="J7" s="400">
        <f>J8+J9+J10+J11+J12+J13</f>
        <v>5094731.74</v>
      </c>
      <c r="K7" s="400">
        <f>K8+K9+K10+K11+K12+K13</f>
        <v>1447832.88</v>
      </c>
    </row>
    <row r="8" spans="1:17" ht="13.5" customHeight="1" x14ac:dyDescent="0.2">
      <c r="A8" s="642" t="s">
        <v>196</v>
      </c>
      <c r="B8" s="642"/>
      <c r="C8" s="642"/>
      <c r="D8" s="642"/>
      <c r="E8" s="642"/>
      <c r="F8" s="642"/>
      <c r="G8" s="10"/>
      <c r="H8" s="11"/>
      <c r="I8" s="401"/>
      <c r="J8" s="401"/>
      <c r="K8" s="401"/>
    </row>
    <row r="9" spans="1:17" ht="21.75" customHeight="1" x14ac:dyDescent="0.2">
      <c r="A9" s="642" t="s">
        <v>197</v>
      </c>
      <c r="B9" s="642"/>
      <c r="C9" s="642"/>
      <c r="D9" s="642"/>
      <c r="E9" s="642"/>
      <c r="F9" s="642"/>
      <c r="G9" s="10"/>
      <c r="H9" s="11">
        <v>36585916</v>
      </c>
      <c r="I9" s="401">
        <f>+ROUND((H9/L2),2)</f>
        <v>4857639.7300000004</v>
      </c>
      <c r="J9" s="401">
        <v>4857639.7300000004</v>
      </c>
      <c r="K9" s="401">
        <v>1447832.88</v>
      </c>
    </row>
    <row r="10" spans="1:17" ht="21.75" customHeight="1" x14ac:dyDescent="0.2">
      <c r="A10" s="642" t="s">
        <v>198</v>
      </c>
      <c r="B10" s="642"/>
      <c r="C10" s="642"/>
      <c r="D10" s="642"/>
      <c r="E10" s="642"/>
      <c r="F10" s="642"/>
      <c r="G10" s="10"/>
      <c r="H10" s="11"/>
      <c r="I10" s="401"/>
      <c r="J10" s="401"/>
      <c r="K10" s="401"/>
    </row>
    <row r="11" spans="1:17" ht="12" customHeight="1" x14ac:dyDescent="0.2">
      <c r="A11" s="642" t="s">
        <v>199</v>
      </c>
      <c r="B11" s="642"/>
      <c r="C11" s="642"/>
      <c r="D11" s="642"/>
      <c r="E11" s="642"/>
      <c r="F11" s="642"/>
      <c r="G11" s="10"/>
      <c r="H11" s="11"/>
      <c r="I11" s="401"/>
      <c r="J11" s="401"/>
      <c r="K11" s="401"/>
    </row>
    <row r="12" spans="1:17" ht="12" customHeight="1" x14ac:dyDescent="0.2">
      <c r="A12" s="642" t="s">
        <v>201</v>
      </c>
      <c r="B12" s="642"/>
      <c r="C12" s="642"/>
      <c r="D12" s="642"/>
      <c r="E12" s="642"/>
      <c r="F12" s="642"/>
      <c r="G12" s="10"/>
      <c r="H12" s="11"/>
      <c r="I12" s="401">
        <v>237092.01</v>
      </c>
      <c r="J12" s="401">
        <v>237092.01</v>
      </c>
      <c r="K12" s="401"/>
      <c r="L12" s="495" t="s">
        <v>1013</v>
      </c>
      <c r="M12" s="495"/>
      <c r="N12" s="495"/>
      <c r="O12" s="495"/>
      <c r="P12" s="495"/>
    </row>
    <row r="13" spans="1:17" ht="12" customHeight="1" x14ac:dyDescent="0.2">
      <c r="A13" s="642" t="s">
        <v>200</v>
      </c>
      <c r="B13" s="642"/>
      <c r="C13" s="642"/>
      <c r="D13" s="642"/>
      <c r="E13" s="642"/>
      <c r="F13" s="642"/>
      <c r="G13" s="10"/>
      <c r="H13" s="11"/>
      <c r="I13" s="401"/>
      <c r="J13" s="401"/>
      <c r="K13" s="401"/>
    </row>
    <row r="14" spans="1:17" ht="12" customHeight="1" x14ac:dyDescent="0.2">
      <c r="A14" s="644" t="s">
        <v>202</v>
      </c>
      <c r="B14" s="644"/>
      <c r="C14" s="644"/>
      <c r="D14" s="644"/>
      <c r="E14" s="644"/>
      <c r="F14" s="644"/>
      <c r="G14" s="10"/>
      <c r="H14" s="508">
        <f>SUM(H15:H23)</f>
        <v>0</v>
      </c>
      <c r="I14" s="508">
        <f>SUM(I15:I23)</f>
        <v>0</v>
      </c>
      <c r="J14" s="508">
        <f>SUM(J15:J23)</f>
        <v>0</v>
      </c>
      <c r="K14" s="508">
        <f>SUM(K15:K23)</f>
        <v>0</v>
      </c>
    </row>
    <row r="15" spans="1:17" ht="12" customHeight="1" x14ac:dyDescent="0.25">
      <c r="A15" s="642" t="s">
        <v>203</v>
      </c>
      <c r="B15" s="642"/>
      <c r="C15" s="642"/>
      <c r="D15" s="642"/>
      <c r="E15" s="642"/>
      <c r="F15" s="642"/>
      <c r="G15" s="10"/>
      <c r="H15" s="11"/>
      <c r="K15" s="401"/>
      <c r="Q15" s="496"/>
    </row>
    <row r="16" spans="1:17" ht="21.75" customHeight="1" x14ac:dyDescent="0.2">
      <c r="A16" s="642" t="s">
        <v>204</v>
      </c>
      <c r="B16" s="642"/>
      <c r="C16" s="642"/>
      <c r="D16" s="642"/>
      <c r="E16" s="642"/>
      <c r="F16" s="642"/>
      <c r="G16" s="10"/>
      <c r="H16" s="11"/>
      <c r="I16" s="401"/>
      <c r="J16" s="401"/>
      <c r="K16" s="401"/>
    </row>
    <row r="17" spans="1:14" ht="12" customHeight="1" x14ac:dyDescent="0.2">
      <c r="A17" s="642" t="s">
        <v>205</v>
      </c>
      <c r="B17" s="642"/>
      <c r="C17" s="642"/>
      <c r="D17" s="642"/>
      <c r="E17" s="642"/>
      <c r="F17" s="642"/>
      <c r="G17" s="10"/>
      <c r="H17" s="11"/>
      <c r="I17" s="401"/>
      <c r="J17" s="401"/>
      <c r="K17" s="401"/>
    </row>
    <row r="18" spans="1:14" ht="12" customHeight="1" x14ac:dyDescent="0.2">
      <c r="A18" s="642" t="s">
        <v>207</v>
      </c>
      <c r="B18" s="642"/>
      <c r="C18" s="642"/>
      <c r="D18" s="642"/>
      <c r="E18" s="642"/>
      <c r="F18" s="642"/>
      <c r="G18" s="10"/>
      <c r="H18" s="11"/>
      <c r="I18" s="401"/>
      <c r="J18" s="401"/>
      <c r="K18" s="401"/>
    </row>
    <row r="19" spans="1:14" ht="21.75" customHeight="1" x14ac:dyDescent="0.2">
      <c r="A19" s="642" t="s">
        <v>206</v>
      </c>
      <c r="B19" s="642"/>
      <c r="C19" s="642"/>
      <c r="D19" s="642"/>
      <c r="E19" s="642"/>
      <c r="F19" s="642"/>
      <c r="G19" s="10"/>
      <c r="H19" s="11"/>
      <c r="I19" s="401"/>
      <c r="J19" s="401"/>
      <c r="K19" s="401"/>
    </row>
    <row r="20" spans="1:14" ht="12" customHeight="1" x14ac:dyDescent="0.2">
      <c r="A20" s="642" t="s">
        <v>208</v>
      </c>
      <c r="B20" s="642"/>
      <c r="C20" s="642"/>
      <c r="D20" s="642"/>
      <c r="E20" s="642"/>
      <c r="F20" s="642"/>
      <c r="G20" s="10"/>
      <c r="H20" s="11"/>
      <c r="I20" s="401"/>
      <c r="J20" s="401"/>
      <c r="K20" s="401"/>
    </row>
    <row r="21" spans="1:14" ht="12" customHeight="1" x14ac:dyDescent="0.2">
      <c r="A21" s="642" t="s">
        <v>209</v>
      </c>
      <c r="B21" s="642"/>
      <c r="C21" s="642"/>
      <c r="D21" s="642"/>
      <c r="E21" s="642"/>
      <c r="F21" s="642"/>
      <c r="G21" s="10"/>
      <c r="H21" s="11"/>
      <c r="I21" s="401"/>
      <c r="J21" s="401"/>
      <c r="K21" s="401"/>
    </row>
    <row r="22" spans="1:14" ht="12" customHeight="1" x14ac:dyDescent="0.2">
      <c r="A22" s="642" t="s">
        <v>210</v>
      </c>
      <c r="B22" s="642"/>
      <c r="C22" s="642"/>
      <c r="D22" s="642"/>
      <c r="E22" s="642"/>
      <c r="F22" s="642"/>
      <c r="G22" s="10"/>
      <c r="H22" s="11"/>
      <c r="I22" s="401"/>
      <c r="J22" s="401"/>
      <c r="K22" s="401"/>
    </row>
    <row r="23" spans="1:14" ht="21.75" customHeight="1" x14ac:dyDescent="0.2">
      <c r="A23" s="642" t="s">
        <v>211</v>
      </c>
      <c r="B23" s="642"/>
      <c r="C23" s="642"/>
      <c r="D23" s="642"/>
      <c r="E23" s="642"/>
      <c r="F23" s="642"/>
      <c r="G23" s="10"/>
      <c r="H23" s="11"/>
      <c r="I23" s="401"/>
      <c r="J23" s="401"/>
      <c r="K23" s="401"/>
      <c r="L23" s="501"/>
      <c r="M23" s="498"/>
      <c r="N23" s="660"/>
    </row>
    <row r="24" spans="1:14" ht="12" customHeight="1" x14ac:dyDescent="0.2">
      <c r="A24" s="644" t="s">
        <v>212</v>
      </c>
      <c r="B24" s="644"/>
      <c r="C24" s="644"/>
      <c r="D24" s="644"/>
      <c r="E24" s="644"/>
      <c r="F24" s="644"/>
      <c r="G24" s="30"/>
      <c r="H24" s="32">
        <f>H6</f>
        <v>36585916</v>
      </c>
      <c r="I24" s="400">
        <f>I6</f>
        <v>5094731.74</v>
      </c>
      <c r="J24" s="400">
        <f>J6</f>
        <v>5094731.74</v>
      </c>
      <c r="K24" s="400">
        <f>K6</f>
        <v>1447832.88</v>
      </c>
      <c r="L24" s="501"/>
      <c r="M24" s="501"/>
      <c r="N24" s="661"/>
    </row>
    <row r="25" spans="1:14" ht="12" customHeight="1" x14ac:dyDescent="0.2">
      <c r="A25" s="659" t="s">
        <v>213</v>
      </c>
      <c r="B25" s="659"/>
      <c r="C25" s="659"/>
      <c r="D25" s="659"/>
      <c r="E25" s="659"/>
      <c r="F25" s="659"/>
      <c r="G25" s="33"/>
      <c r="H25" s="34">
        <f>H5+H24</f>
        <v>-4641531401</v>
      </c>
      <c r="I25" s="402">
        <f>I5+I24</f>
        <v>-616035228.67999995</v>
      </c>
      <c r="J25" s="402">
        <f>J5+J24</f>
        <v>-678619394.95999992</v>
      </c>
      <c r="K25" s="402">
        <f>K5+K24</f>
        <v>-45684378.28999994</v>
      </c>
      <c r="L25" s="499"/>
      <c r="M25" s="499"/>
      <c r="N25" s="500"/>
    </row>
  </sheetData>
  <mergeCells count="26">
    <mergeCell ref="N23:N24"/>
    <mergeCell ref="A12:F12"/>
    <mergeCell ref="A1:K1"/>
    <mergeCell ref="A2:K2"/>
    <mergeCell ref="A4:F4"/>
    <mergeCell ref="A5:F5"/>
    <mergeCell ref="A6:F6"/>
    <mergeCell ref="A7:F7"/>
    <mergeCell ref="A8:F8"/>
    <mergeCell ref="A9:F9"/>
    <mergeCell ref="A10:F10"/>
    <mergeCell ref="A11:F11"/>
    <mergeCell ref="A3:G3"/>
    <mergeCell ref="A24:F24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</mergeCells>
  <printOptions horizontalCentered="1"/>
  <pageMargins left="0.511811023622047" right="0.511811023622047" top="0.98425196850393704" bottom="0.15748031496063" header="0.196850393700787" footer="0.31496062992126"/>
  <pageSetup paperSize="9" scale="85" orientation="portrait" horizontalDpi="1200" verticalDpi="1200" r:id="rId1"/>
  <headerFooter>
    <oddHeader xml:space="preserve">&amp;L&amp;"-,Bold"&amp;10&amp;G&amp;R 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19" zoomScaleNormal="100" workbookViewId="0">
      <selection activeCell="R6" sqref="R6"/>
    </sheetView>
  </sheetViews>
  <sheetFormatPr defaultRowHeight="15" x14ac:dyDescent="0.25"/>
  <cols>
    <col min="1" max="1" width="11.5703125" customWidth="1"/>
    <col min="2" max="2" width="10.28515625" customWidth="1"/>
    <col min="3" max="3" width="11.28515625" customWidth="1"/>
    <col min="4" max="4" width="8.140625" customWidth="1"/>
    <col min="5" max="5" width="5.42578125" customWidth="1"/>
    <col min="6" max="6" width="19.140625" customWidth="1"/>
    <col min="7" max="7" width="6.140625" customWidth="1"/>
    <col min="8" max="8" width="16.42578125" style="1" hidden="1" customWidth="1"/>
    <col min="9" max="10" width="16.42578125" style="415" bestFit="1" customWidth="1"/>
    <col min="11" max="11" width="15" hidden="1" customWidth="1"/>
    <col min="12" max="12" width="18" hidden="1" customWidth="1"/>
    <col min="13" max="13" width="15.7109375" hidden="1" customWidth="1"/>
    <col min="14" max="14" width="0" hidden="1" customWidth="1"/>
  </cols>
  <sheetData>
    <row r="1" spans="1:11" s="12" customFormat="1" ht="16.5" customHeight="1" x14ac:dyDescent="0.25">
      <c r="A1" s="650" t="s">
        <v>216</v>
      </c>
      <c r="B1" s="651"/>
      <c r="C1" s="651"/>
      <c r="D1" s="651"/>
      <c r="E1" s="651"/>
      <c r="F1" s="651"/>
      <c r="G1" s="651"/>
      <c r="H1" s="685"/>
      <c r="I1" s="685"/>
      <c r="J1" s="685"/>
    </row>
    <row r="2" spans="1:11" s="12" customFormat="1" ht="15.95" customHeight="1" thickBot="1" x14ac:dyDescent="0.3">
      <c r="A2" s="653" t="s">
        <v>1004</v>
      </c>
      <c r="B2" s="686"/>
      <c r="C2" s="686"/>
      <c r="D2" s="686"/>
      <c r="E2" s="686"/>
      <c r="F2" s="686"/>
      <c r="G2" s="686"/>
      <c r="H2" s="654"/>
      <c r="I2" s="654"/>
      <c r="J2" s="654"/>
      <c r="K2" s="417">
        <v>7.5345000000000004</v>
      </c>
    </row>
    <row r="3" spans="1:11" s="12" customFormat="1" ht="15" customHeight="1" thickTop="1" x14ac:dyDescent="0.2">
      <c r="A3" s="657" t="s">
        <v>170</v>
      </c>
      <c r="B3" s="658"/>
      <c r="C3" s="658"/>
      <c r="D3" s="658"/>
      <c r="E3" s="658"/>
      <c r="F3" s="658"/>
      <c r="G3" s="658"/>
      <c r="H3" s="22" t="s">
        <v>171</v>
      </c>
      <c r="I3" s="424"/>
      <c r="J3" s="424" t="s">
        <v>1005</v>
      </c>
    </row>
    <row r="4" spans="1:11" ht="29.25" customHeight="1" x14ac:dyDescent="0.25">
      <c r="A4" s="655" t="s">
        <v>0</v>
      </c>
      <c r="B4" s="655"/>
      <c r="C4" s="655"/>
      <c r="D4" s="655"/>
      <c r="E4" s="655"/>
      <c r="F4" s="655"/>
      <c r="G4" s="53" t="s">
        <v>144</v>
      </c>
      <c r="H4" s="383" t="s">
        <v>907</v>
      </c>
      <c r="I4" s="425" t="s">
        <v>1130</v>
      </c>
      <c r="J4" s="425" t="s">
        <v>1006</v>
      </c>
    </row>
    <row r="5" spans="1:11" ht="20.25" customHeight="1" x14ac:dyDescent="0.25">
      <c r="A5" s="679" t="s">
        <v>217</v>
      </c>
      <c r="B5" s="680"/>
      <c r="C5" s="680"/>
      <c r="D5" s="680"/>
      <c r="E5" s="680"/>
      <c r="F5" s="680"/>
      <c r="G5" s="680"/>
    </row>
    <row r="6" spans="1:11" ht="12" customHeight="1" x14ac:dyDescent="0.25">
      <c r="A6" s="681" t="s">
        <v>218</v>
      </c>
      <c r="B6" s="681"/>
      <c r="C6" s="681"/>
      <c r="D6" s="681"/>
      <c r="E6" s="681"/>
      <c r="F6" s="681"/>
      <c r="G6" s="45"/>
      <c r="H6" s="420">
        <v>25674910425</v>
      </c>
      <c r="I6" s="426">
        <f>+ROUND((H6/$K$2),2)</f>
        <v>3407646217.4000001</v>
      </c>
      <c r="J6" s="426">
        <v>4796536936.1999998</v>
      </c>
    </row>
    <row r="7" spans="1:11" ht="12" customHeight="1" x14ac:dyDescent="0.25">
      <c r="A7" s="678" t="s">
        <v>219</v>
      </c>
      <c r="B7" s="678"/>
      <c r="C7" s="678"/>
      <c r="D7" s="678"/>
      <c r="E7" s="678"/>
      <c r="F7" s="678"/>
      <c r="G7" s="46"/>
      <c r="H7" s="511">
        <v>31193595</v>
      </c>
      <c r="I7" s="512">
        <f>+ROUND((H7/$K$2),2)</f>
        <v>4140101.53</v>
      </c>
      <c r="J7" s="512">
        <v>557820.52</v>
      </c>
    </row>
    <row r="8" spans="1:11" ht="12" customHeight="1" x14ac:dyDescent="0.25">
      <c r="A8" s="678" t="s">
        <v>220</v>
      </c>
      <c r="B8" s="678"/>
      <c r="C8" s="678"/>
      <c r="D8" s="678"/>
      <c r="E8" s="678"/>
      <c r="F8" s="678"/>
      <c r="G8" s="46"/>
      <c r="H8" s="421"/>
      <c r="I8" s="427"/>
      <c r="J8" s="427"/>
    </row>
    <row r="9" spans="1:11" ht="12" customHeight="1" x14ac:dyDescent="0.25">
      <c r="A9" s="678" t="s">
        <v>221</v>
      </c>
      <c r="B9" s="678"/>
      <c r="C9" s="678"/>
      <c r="D9" s="678"/>
      <c r="E9" s="678"/>
      <c r="F9" s="678"/>
      <c r="G9" s="46"/>
      <c r="H9" s="511">
        <v>101345755</v>
      </c>
      <c r="I9" s="512">
        <f t="shared" ref="I9:I10" si="0">+ROUND((H9/$K$2),2)</f>
        <v>13450893.220000001</v>
      </c>
      <c r="J9" s="512">
        <v>3872622.13</v>
      </c>
    </row>
    <row r="10" spans="1:11" ht="12" customHeight="1" x14ac:dyDescent="0.25">
      <c r="A10" s="678" t="s">
        <v>222</v>
      </c>
      <c r="B10" s="678"/>
      <c r="C10" s="678"/>
      <c r="D10" s="678"/>
      <c r="E10" s="678"/>
      <c r="F10" s="678"/>
      <c r="G10" s="46" t="s">
        <v>822</v>
      </c>
      <c r="H10" s="421">
        <v>1472374216</v>
      </c>
      <c r="I10" s="427">
        <f t="shared" si="0"/>
        <v>195417640.97999999</v>
      </c>
      <c r="J10" s="427">
        <v>19971053.739999998</v>
      </c>
    </row>
    <row r="11" spans="1:11" ht="12" customHeight="1" x14ac:dyDescent="0.25">
      <c r="A11" s="682" t="s">
        <v>223</v>
      </c>
      <c r="B11" s="682"/>
      <c r="C11" s="682"/>
      <c r="D11" s="682"/>
      <c r="E11" s="682"/>
      <c r="F11" s="682"/>
      <c r="G11" s="46"/>
      <c r="H11" s="47">
        <f>SUM(H6:H10)</f>
        <v>27279823991</v>
      </c>
      <c r="I11" s="411">
        <f>SUM(I6:I10)</f>
        <v>3620654853.1300001</v>
      </c>
      <c r="J11" s="411">
        <f>SUM(J6:J10)</f>
        <v>4820938432.5900002</v>
      </c>
    </row>
    <row r="12" spans="1:11" ht="12" customHeight="1" x14ac:dyDescent="0.25">
      <c r="A12" s="678" t="s">
        <v>224</v>
      </c>
      <c r="B12" s="678"/>
      <c r="C12" s="678"/>
      <c r="D12" s="678"/>
      <c r="E12" s="678"/>
      <c r="F12" s="678"/>
      <c r="G12" s="46"/>
      <c r="H12" s="421">
        <v>-34492980740</v>
      </c>
      <c r="I12" s="427">
        <f t="shared" ref="I12:I17" si="1">+ROUND((H12/$K$2),2)</f>
        <v>-4578005274.3999996</v>
      </c>
      <c r="J12" s="529">
        <v>-5163973082.5299997</v>
      </c>
    </row>
    <row r="13" spans="1:11" ht="12" customHeight="1" x14ac:dyDescent="0.25">
      <c r="A13" s="678" t="s">
        <v>225</v>
      </c>
      <c r="B13" s="678"/>
      <c r="C13" s="678"/>
      <c r="D13" s="678"/>
      <c r="E13" s="678"/>
      <c r="F13" s="678"/>
      <c r="G13" s="46"/>
      <c r="H13" s="511">
        <v>-99425205</v>
      </c>
      <c r="I13" s="512">
        <f t="shared" si="1"/>
        <v>-13195992.43</v>
      </c>
      <c r="J13" s="530">
        <v>-13684016.189999999</v>
      </c>
    </row>
    <row r="14" spans="1:11" ht="12" customHeight="1" x14ac:dyDescent="0.25">
      <c r="A14" s="678" t="s">
        <v>226</v>
      </c>
      <c r="B14" s="678"/>
      <c r="C14" s="678"/>
      <c r="D14" s="678"/>
      <c r="E14" s="678"/>
      <c r="F14" s="678"/>
      <c r="G14" s="46"/>
      <c r="H14" s="421"/>
      <c r="I14" s="427"/>
      <c r="J14" s="529"/>
    </row>
    <row r="15" spans="1:11" ht="12" customHeight="1" x14ac:dyDescent="0.25">
      <c r="A15" s="678" t="s">
        <v>227</v>
      </c>
      <c r="B15" s="678"/>
      <c r="C15" s="678"/>
      <c r="D15" s="678"/>
      <c r="E15" s="678"/>
      <c r="F15" s="678"/>
      <c r="G15" s="46"/>
      <c r="H15" s="511">
        <v>-237818014</v>
      </c>
      <c r="I15" s="512">
        <f t="shared" si="1"/>
        <v>-31563874.710000001</v>
      </c>
      <c r="J15" s="530">
        <v>-37148422.579999998</v>
      </c>
    </row>
    <row r="16" spans="1:11" ht="12" customHeight="1" x14ac:dyDescent="0.25">
      <c r="A16" s="678" t="s">
        <v>228</v>
      </c>
      <c r="B16" s="678"/>
      <c r="C16" s="678"/>
      <c r="D16" s="678"/>
      <c r="E16" s="678"/>
      <c r="F16" s="678"/>
      <c r="G16" s="46"/>
      <c r="H16" s="511">
        <v>-38904362</v>
      </c>
      <c r="I16" s="512">
        <f t="shared" si="1"/>
        <v>-5163496.18</v>
      </c>
      <c r="J16" s="530"/>
    </row>
    <row r="17" spans="1:10" ht="12" customHeight="1" x14ac:dyDescent="0.25">
      <c r="A17" s="678" t="s">
        <v>229</v>
      </c>
      <c r="B17" s="678"/>
      <c r="C17" s="678"/>
      <c r="D17" s="678"/>
      <c r="E17" s="678"/>
      <c r="F17" s="678"/>
      <c r="G17" s="46" t="s">
        <v>823</v>
      </c>
      <c r="H17" s="421">
        <v>-1390913761</v>
      </c>
      <c r="I17" s="427">
        <f t="shared" si="1"/>
        <v>-184605980.62</v>
      </c>
      <c r="J17" s="529">
        <v>-168721478.46000001</v>
      </c>
    </row>
    <row r="18" spans="1:10" ht="12" customHeight="1" x14ac:dyDescent="0.25">
      <c r="A18" s="682" t="s">
        <v>230</v>
      </c>
      <c r="B18" s="682"/>
      <c r="C18" s="682"/>
      <c r="D18" s="682"/>
      <c r="E18" s="682"/>
      <c r="F18" s="682"/>
      <c r="G18" s="46"/>
      <c r="H18" s="47">
        <f>SUM(H12:H17)</f>
        <v>-36260042082</v>
      </c>
      <c r="I18" s="411">
        <f>SUM(I12:I17)</f>
        <v>-4812534618.3400002</v>
      </c>
      <c r="J18" s="411">
        <f>SUM(J12:J17)</f>
        <v>-5383526999.7599993</v>
      </c>
    </row>
    <row r="19" spans="1:10" ht="24.75" customHeight="1" x14ac:dyDescent="0.25">
      <c r="A19" s="683" t="s">
        <v>231</v>
      </c>
      <c r="B19" s="683"/>
      <c r="C19" s="683"/>
      <c r="D19" s="683"/>
      <c r="E19" s="683"/>
      <c r="F19" s="683"/>
      <c r="G19" s="48"/>
      <c r="H19" s="50">
        <f>H11+H18</f>
        <v>-8980218091</v>
      </c>
      <c r="I19" s="412">
        <f>I11+I18</f>
        <v>-1191879765.21</v>
      </c>
      <c r="J19" s="412">
        <f>J11+J18</f>
        <v>-562588567.16999912</v>
      </c>
    </row>
    <row r="20" spans="1:10" s="21" customFormat="1" ht="20.100000000000001" customHeight="1" x14ac:dyDescent="0.25">
      <c r="A20" s="679" t="s">
        <v>232</v>
      </c>
      <c r="B20" s="680"/>
      <c r="C20" s="680"/>
      <c r="D20" s="680"/>
      <c r="E20" s="680"/>
      <c r="F20" s="680"/>
      <c r="G20" s="680"/>
      <c r="H20" s="418"/>
      <c r="I20" s="416"/>
      <c r="J20" s="416"/>
    </row>
    <row r="21" spans="1:10" ht="13.5" customHeight="1" x14ac:dyDescent="0.25">
      <c r="A21" s="678" t="s">
        <v>233</v>
      </c>
      <c r="B21" s="678"/>
      <c r="C21" s="678"/>
      <c r="D21" s="678"/>
      <c r="E21" s="678"/>
      <c r="F21" s="678"/>
      <c r="G21" s="45"/>
      <c r="H21" s="420">
        <v>1545753</v>
      </c>
      <c r="I21" s="426">
        <f>+ROUND((H21/$K$2),2)</f>
        <v>205156.68</v>
      </c>
      <c r="J21" s="426">
        <v>117413.69</v>
      </c>
    </row>
    <row r="22" spans="1:10" ht="12" customHeight="1" x14ac:dyDescent="0.25">
      <c r="A22" s="678" t="s">
        <v>234</v>
      </c>
      <c r="B22" s="678"/>
      <c r="C22" s="678"/>
      <c r="D22" s="678"/>
      <c r="E22" s="678"/>
      <c r="F22" s="678"/>
      <c r="G22" s="46"/>
      <c r="H22" s="511"/>
      <c r="I22" s="512"/>
      <c r="J22" s="512"/>
    </row>
    <row r="23" spans="1:10" ht="12" customHeight="1" x14ac:dyDescent="0.25">
      <c r="A23" s="678" t="s">
        <v>235</v>
      </c>
      <c r="B23" s="678"/>
      <c r="C23" s="678"/>
      <c r="D23" s="678"/>
      <c r="E23" s="678"/>
      <c r="F23" s="678"/>
      <c r="G23" s="46"/>
      <c r="H23" s="421"/>
      <c r="I23" s="427"/>
      <c r="J23" s="427"/>
    </row>
    <row r="24" spans="1:10" ht="12" customHeight="1" x14ac:dyDescent="0.25">
      <c r="A24" s="678" t="s">
        <v>236</v>
      </c>
      <c r="B24" s="678"/>
      <c r="C24" s="678"/>
      <c r="D24" s="678"/>
      <c r="E24" s="678"/>
      <c r="F24" s="678"/>
      <c r="G24" s="46" t="s">
        <v>824</v>
      </c>
      <c r="H24" s="511">
        <v>670585257</v>
      </c>
      <c r="I24" s="512">
        <f t="shared" ref="I24:I32" si="2">+ROUND((H24/$K$2),2)</f>
        <v>89001958.590000004</v>
      </c>
      <c r="J24" s="512">
        <v>11103161.560000001</v>
      </c>
    </row>
    <row r="25" spans="1:10" ht="12" customHeight="1" x14ac:dyDescent="0.25">
      <c r="A25" s="678" t="s">
        <v>237</v>
      </c>
      <c r="B25" s="678"/>
      <c r="C25" s="678"/>
      <c r="D25" s="678"/>
      <c r="E25" s="678"/>
      <c r="F25" s="678"/>
      <c r="G25" s="46" t="s">
        <v>825</v>
      </c>
      <c r="H25" s="421">
        <v>938593890</v>
      </c>
      <c r="I25" s="427">
        <f t="shared" si="2"/>
        <v>124572817.04000001</v>
      </c>
      <c r="J25" s="427">
        <v>55384604.420000002</v>
      </c>
    </row>
    <row r="26" spans="1:10" ht="12" customHeight="1" x14ac:dyDescent="0.25">
      <c r="A26" s="678" t="s">
        <v>238</v>
      </c>
      <c r="B26" s="678"/>
      <c r="C26" s="678"/>
      <c r="D26" s="678"/>
      <c r="E26" s="678"/>
      <c r="F26" s="678"/>
      <c r="G26" s="46" t="s">
        <v>826</v>
      </c>
      <c r="H26" s="513">
        <v>5121599</v>
      </c>
      <c r="I26" s="514">
        <f t="shared" si="2"/>
        <v>679753</v>
      </c>
      <c r="J26" s="514">
        <v>1013255.2</v>
      </c>
    </row>
    <row r="27" spans="1:10" ht="12" customHeight="1" x14ac:dyDescent="0.25">
      <c r="A27" s="682" t="s">
        <v>239</v>
      </c>
      <c r="B27" s="682"/>
      <c r="C27" s="682"/>
      <c r="D27" s="682"/>
      <c r="E27" s="682"/>
      <c r="F27" s="682"/>
      <c r="G27" s="46"/>
      <c r="H27" s="419">
        <f>SUM(H21:H26)</f>
        <v>1615846499</v>
      </c>
      <c r="I27" s="428">
        <f>SUM(I21:I26)</f>
        <v>214459685.31</v>
      </c>
      <c r="J27" s="428">
        <f>SUM(J21:J26)</f>
        <v>67618434.870000005</v>
      </c>
    </row>
    <row r="28" spans="1:10" ht="12.75" customHeight="1" x14ac:dyDescent="0.25">
      <c r="A28" s="678" t="s">
        <v>240</v>
      </c>
      <c r="B28" s="678"/>
      <c r="C28" s="678"/>
      <c r="D28" s="678"/>
      <c r="E28" s="678"/>
      <c r="F28" s="678"/>
      <c r="G28" s="46" t="s">
        <v>827</v>
      </c>
      <c r="H28" s="421">
        <v>-531925417</v>
      </c>
      <c r="I28" s="427">
        <f t="shared" si="2"/>
        <v>-70598635.209999993</v>
      </c>
      <c r="J28" s="427">
        <v>-76057821.099999994</v>
      </c>
    </row>
    <row r="29" spans="1:10" ht="12" customHeight="1" x14ac:dyDescent="0.25">
      <c r="A29" s="678" t="s">
        <v>241</v>
      </c>
      <c r="B29" s="678"/>
      <c r="C29" s="678"/>
      <c r="D29" s="678"/>
      <c r="E29" s="678"/>
      <c r="F29" s="678"/>
      <c r="G29" s="46"/>
      <c r="H29" s="511"/>
      <c r="I29" s="512"/>
      <c r="J29" s="512"/>
    </row>
    <row r="30" spans="1:10" ht="12" customHeight="1" x14ac:dyDescent="0.25">
      <c r="A30" s="678" t="s">
        <v>242</v>
      </c>
      <c r="B30" s="678"/>
      <c r="C30" s="678"/>
      <c r="D30" s="678"/>
      <c r="E30" s="678"/>
      <c r="F30" s="678"/>
      <c r="G30" s="46" t="s">
        <v>828</v>
      </c>
      <c r="H30" s="421">
        <v>-741669292</v>
      </c>
      <c r="I30" s="427">
        <f t="shared" si="2"/>
        <v>-98436431.349999994</v>
      </c>
      <c r="J30" s="427">
        <v>-5735740.54</v>
      </c>
    </row>
    <row r="31" spans="1:10" ht="12" customHeight="1" x14ac:dyDescent="0.25">
      <c r="A31" s="678" t="s">
        <v>243</v>
      </c>
      <c r="B31" s="678"/>
      <c r="C31" s="678"/>
      <c r="D31" s="678"/>
      <c r="E31" s="678"/>
      <c r="F31" s="678"/>
      <c r="G31" s="46"/>
      <c r="H31" s="511"/>
      <c r="I31" s="512"/>
      <c r="J31" s="512"/>
    </row>
    <row r="32" spans="1:10" ht="12" customHeight="1" x14ac:dyDescent="0.25">
      <c r="A32" s="678" t="s">
        <v>244</v>
      </c>
      <c r="B32" s="678"/>
      <c r="C32" s="678"/>
      <c r="D32" s="678"/>
      <c r="E32" s="678"/>
      <c r="F32" s="678"/>
      <c r="G32" s="46" t="s">
        <v>1041</v>
      </c>
      <c r="H32" s="421">
        <v>-108131660</v>
      </c>
      <c r="I32" s="427">
        <f t="shared" si="2"/>
        <v>-14351537.59</v>
      </c>
      <c r="J32" s="427">
        <v>-127145990</v>
      </c>
    </row>
    <row r="33" spans="1:11" ht="12" customHeight="1" x14ac:dyDescent="0.25">
      <c r="A33" s="682" t="s">
        <v>245</v>
      </c>
      <c r="B33" s="682"/>
      <c r="C33" s="682"/>
      <c r="D33" s="682"/>
      <c r="E33" s="682"/>
      <c r="F33" s="682"/>
      <c r="G33" s="46"/>
      <c r="H33" s="419">
        <f>H28+H30+H32</f>
        <v>-1381726369</v>
      </c>
      <c r="I33" s="428">
        <f>I28+I30+I32</f>
        <v>-183386604.15000001</v>
      </c>
      <c r="J33" s="428">
        <f>J28+J30+J32</f>
        <v>-208939551.63999999</v>
      </c>
    </row>
    <row r="34" spans="1:11" ht="23.25" customHeight="1" x14ac:dyDescent="0.25">
      <c r="A34" s="683" t="s">
        <v>246</v>
      </c>
      <c r="B34" s="683"/>
      <c r="C34" s="683"/>
      <c r="D34" s="683"/>
      <c r="E34" s="683"/>
      <c r="F34" s="683"/>
      <c r="G34" s="48"/>
      <c r="H34" s="54">
        <f>H27+H33</f>
        <v>234120130</v>
      </c>
      <c r="I34" s="414">
        <f>I27+I33</f>
        <v>31073081.159999996</v>
      </c>
      <c r="J34" s="531">
        <f>J27+J33</f>
        <v>-141321116.76999998</v>
      </c>
    </row>
    <row r="35" spans="1:11" s="21" customFormat="1" ht="20.100000000000001" customHeight="1" x14ac:dyDescent="0.25">
      <c r="A35" s="679" t="s">
        <v>247</v>
      </c>
      <c r="B35" s="680"/>
      <c r="C35" s="680"/>
      <c r="D35" s="680"/>
      <c r="E35" s="680"/>
      <c r="F35" s="680"/>
      <c r="G35" s="680"/>
      <c r="H35" s="418"/>
      <c r="I35" s="416"/>
      <c r="J35" s="416"/>
    </row>
    <row r="36" spans="1:11" ht="12" customHeight="1" x14ac:dyDescent="0.25">
      <c r="A36" s="681" t="s">
        <v>248</v>
      </c>
      <c r="B36" s="681"/>
      <c r="C36" s="681"/>
      <c r="D36" s="681"/>
      <c r="E36" s="681"/>
      <c r="F36" s="681"/>
      <c r="G36" s="45"/>
      <c r="H36" s="422"/>
      <c r="I36" s="429"/>
      <c r="J36" s="429"/>
    </row>
    <row r="37" spans="1:11" ht="12.75" customHeight="1" x14ac:dyDescent="0.25">
      <c r="A37" s="678" t="s">
        <v>249</v>
      </c>
      <c r="B37" s="678"/>
      <c r="C37" s="678"/>
      <c r="D37" s="678"/>
      <c r="E37" s="678"/>
      <c r="F37" s="678"/>
      <c r="G37" s="46"/>
      <c r="H37" s="515"/>
      <c r="I37" s="516"/>
      <c r="J37" s="516"/>
    </row>
    <row r="38" spans="1:11" ht="12" customHeight="1" x14ac:dyDescent="0.25">
      <c r="A38" s="678" t="s">
        <v>250</v>
      </c>
      <c r="B38" s="678"/>
      <c r="C38" s="678"/>
      <c r="D38" s="678"/>
      <c r="E38" s="678"/>
      <c r="F38" s="678"/>
      <c r="G38" s="46" t="s">
        <v>1042</v>
      </c>
      <c r="H38" s="423">
        <v>10519537160</v>
      </c>
      <c r="I38" s="427">
        <f t="shared" ref="I38:I39" si="3">+ROUND((H38/$K$2),2)</f>
        <v>1396182515.0999999</v>
      </c>
      <c r="J38" s="430">
        <v>811219366.98000002</v>
      </c>
    </row>
    <row r="39" spans="1:11" ht="12" customHeight="1" x14ac:dyDescent="0.25">
      <c r="A39" s="678" t="s">
        <v>251</v>
      </c>
      <c r="B39" s="678"/>
      <c r="C39" s="678"/>
      <c r="D39" s="678"/>
      <c r="E39" s="678"/>
      <c r="F39" s="678"/>
      <c r="G39" s="46" t="s">
        <v>1043</v>
      </c>
      <c r="H39" s="517">
        <v>185058090</v>
      </c>
      <c r="I39" s="514">
        <f t="shared" si="3"/>
        <v>24561429.420000002</v>
      </c>
      <c r="J39" s="518">
        <v>100000</v>
      </c>
    </row>
    <row r="40" spans="1:11" ht="12" customHeight="1" x14ac:dyDescent="0.25">
      <c r="A40" s="682" t="s">
        <v>252</v>
      </c>
      <c r="B40" s="682"/>
      <c r="C40" s="682"/>
      <c r="D40" s="682"/>
      <c r="E40" s="682"/>
      <c r="F40" s="682"/>
      <c r="G40" s="46"/>
      <c r="H40" s="49">
        <f>H36+H37+H38+H39</f>
        <v>10704595250</v>
      </c>
      <c r="I40" s="413">
        <f>I36+I37+I38+I39</f>
        <v>1420743944.52</v>
      </c>
      <c r="J40" s="413">
        <f>J36+J37+J38+J39</f>
        <v>811319366.98000002</v>
      </c>
    </row>
    <row r="41" spans="1:11" ht="24" customHeight="1" x14ac:dyDescent="0.25">
      <c r="A41" s="678" t="s">
        <v>253</v>
      </c>
      <c r="B41" s="678"/>
      <c r="C41" s="678"/>
      <c r="D41" s="678"/>
      <c r="E41" s="678"/>
      <c r="F41" s="678"/>
      <c r="G41" s="46" t="s">
        <v>1118</v>
      </c>
      <c r="H41" s="423">
        <v>-3503647638</v>
      </c>
      <c r="I41" s="494">
        <f t="shared" ref="I41" si="4">+ROUND((H41/$K$2),2)</f>
        <v>-465013954.20999998</v>
      </c>
      <c r="J41" s="430">
        <v>-19082402.579999998</v>
      </c>
    </row>
    <row r="42" spans="1:11" ht="12" customHeight="1" x14ac:dyDescent="0.25">
      <c r="A42" s="678" t="s">
        <v>254</v>
      </c>
      <c r="B42" s="678"/>
      <c r="C42" s="678"/>
      <c r="D42" s="678"/>
      <c r="E42" s="678"/>
      <c r="F42" s="678"/>
      <c r="G42" s="46"/>
      <c r="H42" s="519"/>
      <c r="I42" s="512"/>
      <c r="J42" s="520"/>
    </row>
    <row r="43" spans="1:11" ht="12" customHeight="1" x14ac:dyDescent="0.25">
      <c r="A43" s="678" t="s">
        <v>255</v>
      </c>
      <c r="B43" s="678"/>
      <c r="C43" s="678"/>
      <c r="D43" s="678"/>
      <c r="E43" s="678"/>
      <c r="F43" s="678"/>
      <c r="G43" s="46"/>
      <c r="H43" s="423"/>
      <c r="I43" s="427"/>
      <c r="J43" s="430"/>
      <c r="K43" s="415"/>
    </row>
    <row r="44" spans="1:11" ht="24" customHeight="1" x14ac:dyDescent="0.25">
      <c r="A44" s="678" t="s">
        <v>256</v>
      </c>
      <c r="B44" s="678"/>
      <c r="C44" s="678"/>
      <c r="D44" s="678"/>
      <c r="E44" s="678"/>
      <c r="F44" s="678"/>
      <c r="G44" s="46"/>
      <c r="H44" s="519"/>
      <c r="I44" s="512"/>
      <c r="J44" s="520"/>
    </row>
    <row r="45" spans="1:11" ht="12" customHeight="1" x14ac:dyDescent="0.25">
      <c r="A45" s="678" t="s">
        <v>257</v>
      </c>
      <c r="B45" s="678"/>
      <c r="C45" s="678"/>
      <c r="D45" s="678"/>
      <c r="E45" s="678"/>
      <c r="F45" s="678"/>
      <c r="G45" s="46" t="s">
        <v>1119</v>
      </c>
      <c r="H45" s="423">
        <v>-33307324</v>
      </c>
      <c r="I45" s="427">
        <f t="shared" ref="I45" si="5">+ROUND((H45/$K$2),2)</f>
        <v>-4420641.58</v>
      </c>
      <c r="J45" s="430">
        <v>-452464.5</v>
      </c>
    </row>
    <row r="46" spans="1:11" ht="12" customHeight="1" x14ac:dyDescent="0.25">
      <c r="A46" s="682" t="s">
        <v>258</v>
      </c>
      <c r="B46" s="682"/>
      <c r="C46" s="682"/>
      <c r="D46" s="682"/>
      <c r="E46" s="682"/>
      <c r="F46" s="682"/>
      <c r="G46" s="46"/>
      <c r="H46" s="49">
        <f>H41+H42+H43+H44+H45</f>
        <v>-3536954962</v>
      </c>
      <c r="I46" s="413">
        <f>I41+I42+I43+I44+I45</f>
        <v>-469434595.78999996</v>
      </c>
      <c r="J46" s="413">
        <f>J41+J42+J43+J44+J45</f>
        <v>-19534867.079999998</v>
      </c>
    </row>
    <row r="47" spans="1:11" ht="19.5" customHeight="1" x14ac:dyDescent="0.25">
      <c r="A47" s="684" t="s">
        <v>259</v>
      </c>
      <c r="B47" s="684"/>
      <c r="C47" s="684"/>
      <c r="D47" s="684"/>
      <c r="E47" s="684"/>
      <c r="F47" s="684"/>
      <c r="G47" s="46"/>
      <c r="H47" s="49">
        <f>H40+H46</f>
        <v>7167640288</v>
      </c>
      <c r="I47" s="413">
        <f>I40+I46</f>
        <v>951309348.73000002</v>
      </c>
      <c r="J47" s="413">
        <f>J40+J46</f>
        <v>791784499.89999998</v>
      </c>
    </row>
    <row r="48" spans="1:11" ht="12" customHeight="1" x14ac:dyDescent="0.25">
      <c r="A48" s="678" t="s">
        <v>260</v>
      </c>
      <c r="B48" s="678"/>
      <c r="C48" s="678"/>
      <c r="D48" s="678"/>
      <c r="E48" s="678"/>
      <c r="F48" s="678"/>
      <c r="G48" s="46"/>
      <c r="H48" s="47"/>
      <c r="I48" s="411"/>
      <c r="J48" s="411"/>
    </row>
    <row r="49" spans="1:13" ht="27" customHeight="1" x14ac:dyDescent="0.25">
      <c r="A49" s="684" t="s">
        <v>261</v>
      </c>
      <c r="B49" s="684"/>
      <c r="C49" s="684"/>
      <c r="D49" s="684"/>
      <c r="E49" s="684"/>
      <c r="F49" s="684"/>
      <c r="G49" s="46"/>
      <c r="H49" s="49">
        <f>H19+H34+H47+H48</f>
        <v>-1578457673</v>
      </c>
      <c r="I49" s="413">
        <f>I19+I34+I47+I48</f>
        <v>-209497335.31999993</v>
      </c>
      <c r="J49" s="413">
        <f>J19+J34+J47+J48</f>
        <v>87874815.960000873</v>
      </c>
      <c r="K49" s="431">
        <f>+ROUND((H49/K2),2)</f>
        <v>-209497335.31999999</v>
      </c>
      <c r="L49" s="546">
        <f>I19+I34+I47</f>
        <v>-209497335.31999993</v>
      </c>
      <c r="M49" s="546">
        <f>J19+J34+J47</f>
        <v>87874815.960000873</v>
      </c>
    </row>
    <row r="50" spans="1:13" ht="18.75" customHeight="1" x14ac:dyDescent="0.25">
      <c r="A50" s="684" t="s">
        <v>262</v>
      </c>
      <c r="B50" s="684"/>
      <c r="C50" s="684"/>
      <c r="D50" s="684"/>
      <c r="E50" s="684"/>
      <c r="F50" s="684"/>
      <c r="G50" s="46"/>
      <c r="H50" s="423">
        <v>2798910858</v>
      </c>
      <c r="I50" s="430">
        <f>+ROUND((H50/$K$2),2)-0.01</f>
        <v>371479309.56999999</v>
      </c>
      <c r="J50" s="430">
        <v>161981974.25</v>
      </c>
      <c r="K50" s="507" t="s">
        <v>1019</v>
      </c>
      <c r="L50" s="546">
        <f>I51-I50</f>
        <v>-209497335.31999993</v>
      </c>
      <c r="M50" s="546">
        <f>J51-J50</f>
        <v>87874815.960000873</v>
      </c>
    </row>
    <row r="51" spans="1:13" ht="27" customHeight="1" x14ac:dyDescent="0.25">
      <c r="A51" s="683" t="s">
        <v>263</v>
      </c>
      <c r="B51" s="683"/>
      <c r="C51" s="683"/>
      <c r="D51" s="683"/>
      <c r="E51" s="683"/>
      <c r="F51" s="683"/>
      <c r="G51" s="48"/>
      <c r="H51" s="54">
        <f>H49+H50</f>
        <v>1220453185</v>
      </c>
      <c r="I51" s="414">
        <f>I49+I50</f>
        <v>161981974.25000006</v>
      </c>
      <c r="J51" s="414">
        <f>J49+J50</f>
        <v>249856790.21000087</v>
      </c>
      <c r="K51" s="431">
        <f>+ROUND((H51/K2),2)</f>
        <v>161981974.25</v>
      </c>
    </row>
  </sheetData>
  <mergeCells count="51">
    <mergeCell ref="A1:J1"/>
    <mergeCell ref="A2:J2"/>
    <mergeCell ref="A51:F51"/>
    <mergeCell ref="A50:F50"/>
    <mergeCell ref="A21:F21"/>
    <mergeCell ref="A22:F22"/>
    <mergeCell ref="A23:F23"/>
    <mergeCell ref="A36:F36"/>
    <mergeCell ref="A25:F25"/>
    <mergeCell ref="A26:F26"/>
    <mergeCell ref="A27:F27"/>
    <mergeCell ref="A28:F28"/>
    <mergeCell ref="A29:F29"/>
    <mergeCell ref="A30:F30"/>
    <mergeCell ref="A48:F48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9:F49"/>
    <mergeCell ref="A31:F31"/>
    <mergeCell ref="A32:F32"/>
    <mergeCell ref="A33:F33"/>
    <mergeCell ref="A34:F34"/>
    <mergeCell ref="A35:G35"/>
    <mergeCell ref="A24:F24"/>
    <mergeCell ref="A16:F16"/>
    <mergeCell ref="A17:F17"/>
    <mergeCell ref="A18:F18"/>
    <mergeCell ref="A19:F19"/>
    <mergeCell ref="A20:G20"/>
    <mergeCell ref="A3:G3"/>
    <mergeCell ref="A15:F15"/>
    <mergeCell ref="A13:F13"/>
    <mergeCell ref="A14:F14"/>
    <mergeCell ref="A12:F12"/>
    <mergeCell ref="A4:F4"/>
    <mergeCell ref="A5:G5"/>
    <mergeCell ref="A6:F6"/>
    <mergeCell ref="A7:F7"/>
    <mergeCell ref="A8:F8"/>
    <mergeCell ref="A9:F9"/>
    <mergeCell ref="A10:F10"/>
    <mergeCell ref="A11:F11"/>
  </mergeCells>
  <conditionalFormatting sqref="H18">
    <cfRule type="cellIs" dxfId="15" priority="53" stopIfTrue="1" operator="notEqual">
      <formula>ROUND(H18,0)</formula>
    </cfRule>
  </conditionalFormatting>
  <conditionalFormatting sqref="H19">
    <cfRule type="cellIs" dxfId="14" priority="54" stopIfTrue="1" operator="notEqual">
      <formula>ROUND(H19,0)</formula>
    </cfRule>
  </conditionalFormatting>
  <conditionalFormatting sqref="H11">
    <cfRule type="cellIs" dxfId="13" priority="55" stopIfTrue="1" operator="notEqual">
      <formula>ROUND(H11,0)</formula>
    </cfRule>
    <cfRule type="cellIs" dxfId="12" priority="56" stopIfTrue="1" operator="lessThan">
      <formula>0</formula>
    </cfRule>
  </conditionalFormatting>
  <conditionalFormatting sqref="H33">
    <cfRule type="cellIs" dxfId="11" priority="51" stopIfTrue="1" operator="notEqual">
      <formula>ROUND(H33,0)</formula>
    </cfRule>
    <cfRule type="cellIs" dxfId="10" priority="52" stopIfTrue="1" operator="greaterThan">
      <formula>0</formula>
    </cfRule>
  </conditionalFormatting>
  <conditionalFormatting sqref="H34">
    <cfRule type="cellIs" dxfId="9" priority="48" stopIfTrue="1" operator="notEqual">
      <formula>ROUND(H34,0)</formula>
    </cfRule>
  </conditionalFormatting>
  <conditionalFormatting sqref="H51">
    <cfRule type="cellIs" dxfId="8" priority="39" stopIfTrue="1" operator="notEqual">
      <formula>ROUND(H51,0)</formula>
    </cfRule>
    <cfRule type="cellIs" dxfId="7" priority="40" stopIfTrue="1" operator="lessThan">
      <formula>0</formula>
    </cfRule>
  </conditionalFormatting>
  <conditionalFormatting sqref="H27">
    <cfRule type="cellIs" dxfId="6" priority="46" stopIfTrue="1" operator="notEqual">
      <formula>ROUND(H27,0)</formula>
    </cfRule>
    <cfRule type="cellIs" dxfId="5" priority="47" stopIfTrue="1" operator="lessThan">
      <formula>0</formula>
    </cfRule>
  </conditionalFormatting>
  <conditionalFormatting sqref="H40">
    <cfRule type="cellIs" dxfId="4" priority="44" stopIfTrue="1" operator="notEqual">
      <formula>ROUND(H40,0)</formula>
    </cfRule>
    <cfRule type="cellIs" dxfId="3" priority="45" stopIfTrue="1" operator="lessThan">
      <formula>0</formula>
    </cfRule>
  </conditionalFormatting>
  <conditionalFormatting sqref="H47:H49">
    <cfRule type="cellIs" dxfId="2" priority="41" stopIfTrue="1" operator="notEqual">
      <formula>ROUND(H47,0)</formula>
    </cfRule>
  </conditionalFormatting>
  <conditionalFormatting sqref="H46">
    <cfRule type="cellIs" dxfId="1" priority="42" stopIfTrue="1" operator="notEqual">
      <formula>ROUND(H46,0)</formula>
    </cfRule>
    <cfRule type="cellIs" dxfId="0" priority="43" stopIfTrue="1" operator="greaterThan">
      <formula>0</formula>
    </cfRule>
  </conditionalFormatting>
  <dataValidations count="4">
    <dataValidation type="whole" operator="lessThanOrEqual" allowBlank="1" showInputMessage="1" showErrorMessage="1" errorTitle="Pogrešan upis" error="Dopušten je upis samo negativnih cjelobrojnih vrijednosti ili nule" sqref="H46:I46 H33:I33">
      <formula1>0</formula1>
    </dataValidation>
    <dataValidation type="whole" operator="greaterThanOrEqual" allowBlank="1" showInputMessage="1" showErrorMessage="1" errorTitle="Pogrešan upis" error="Dopušten je upis samo pozitivnih cjelobrojnih vrijednosti" sqref="H27:I27 H40:I40 H11:I11 H51:I51">
      <formula1>0</formula1>
    </dataValidation>
    <dataValidation type="whole" operator="notEqual" allowBlank="1" showInputMessage="1" showErrorMessage="1" errorTitle="Pogrešan upis" error="Dopušten je upis samo cjelobrojnih vrijednosti" sqref="H34:I34 H18:I19 H47:I49">
      <formula1>999999999999</formula1>
    </dataValidation>
    <dataValidation allowBlank="1" showInputMessage="1" sqref="M16 J3:J1048576"/>
  </dataValidations>
  <printOptions horizontalCentered="1"/>
  <pageMargins left="0.39300000000000002" right="0.39300000000000002" top="0.59" bottom="0.19600000000000001" header="0.19600000000000001" footer="0.314"/>
  <pageSetup paperSize="9" scale="85" fitToHeight="0" orientation="portrait" r:id="rId1"/>
  <headerFooter>
    <oddHeader xml:space="preserve">&amp;L&amp;G&amp;R 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3"/>
  <sheetViews>
    <sheetView topLeftCell="A128" zoomScale="80" zoomScaleNormal="80" workbookViewId="0">
      <selection activeCell="U107" sqref="U107"/>
    </sheetView>
  </sheetViews>
  <sheetFormatPr defaultRowHeight="12.75" x14ac:dyDescent="0.2"/>
  <cols>
    <col min="1" max="4" width="9.140625" style="303"/>
    <col min="5" max="5" width="10.140625" style="303" bestFit="1" customWidth="1"/>
    <col min="6" max="6" width="9.140625" style="303"/>
    <col min="7" max="7" width="7" style="303" customWidth="1"/>
    <col min="8" max="25" width="13.42578125" style="291" customWidth="1"/>
    <col min="26" max="26" width="16.85546875" style="292" hidden="1" customWidth="1"/>
    <col min="27" max="27" width="0" style="292" hidden="1" customWidth="1"/>
    <col min="28" max="28" width="0" style="303" hidden="1" customWidth="1"/>
    <col min="29" max="16384" width="9.140625" style="303"/>
  </cols>
  <sheetData>
    <row r="1" spans="1:25" hidden="1" x14ac:dyDescent="0.2"/>
    <row r="2" spans="1:25" ht="26.25" hidden="1" x14ac:dyDescent="0.4">
      <c r="A2" s="690" t="s">
        <v>396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1"/>
      <c r="X2" s="691"/>
      <c r="Y2" s="691"/>
    </row>
    <row r="3" spans="1:25" ht="21.75" hidden="1" thickBot="1" x14ac:dyDescent="0.4">
      <c r="A3" s="692" t="s">
        <v>909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3"/>
      <c r="X3" s="693"/>
      <c r="Y3" s="693"/>
    </row>
    <row r="4" spans="1:25" ht="15.75" hidden="1" thickTop="1" x14ac:dyDescent="0.25">
      <c r="A4" s="694" t="s">
        <v>170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59"/>
      <c r="M4" s="59"/>
      <c r="N4" s="59"/>
      <c r="O4" s="60"/>
      <c r="P4" s="60"/>
      <c r="Q4" s="60"/>
      <c r="R4" s="60"/>
      <c r="S4" s="60"/>
      <c r="T4" s="60"/>
      <c r="U4" s="60"/>
      <c r="W4"/>
      <c r="X4"/>
      <c r="Y4" s="61" t="s">
        <v>171</v>
      </c>
    </row>
    <row r="5" spans="1:25" hidden="1" x14ac:dyDescent="0.2">
      <c r="A5" s="695" t="s">
        <v>397</v>
      </c>
      <c r="B5" s="696"/>
      <c r="C5" s="696"/>
      <c r="D5" s="696"/>
      <c r="E5" s="696"/>
      <c r="F5" s="697"/>
      <c r="G5" s="701" t="s">
        <v>791</v>
      </c>
      <c r="H5" s="703" t="s">
        <v>398</v>
      </c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5"/>
      <c r="X5" s="706" t="s">
        <v>399</v>
      </c>
      <c r="Y5" s="706" t="s">
        <v>400</v>
      </c>
    </row>
    <row r="6" spans="1:25" ht="90" hidden="1" x14ac:dyDescent="0.2">
      <c r="A6" s="698"/>
      <c r="B6" s="699"/>
      <c r="C6" s="699"/>
      <c r="D6" s="699"/>
      <c r="E6" s="699"/>
      <c r="F6" s="700"/>
      <c r="G6" s="702"/>
      <c r="H6" s="293" t="s">
        <v>401</v>
      </c>
      <c r="I6" s="293" t="s">
        <v>402</v>
      </c>
      <c r="J6" s="293" t="s">
        <v>403</v>
      </c>
      <c r="K6" s="293" t="s">
        <v>404</v>
      </c>
      <c r="L6" s="293" t="s">
        <v>405</v>
      </c>
      <c r="M6" s="293" t="s">
        <v>406</v>
      </c>
      <c r="N6" s="293" t="s">
        <v>407</v>
      </c>
      <c r="O6" s="293" t="s">
        <v>408</v>
      </c>
      <c r="P6" s="294" t="s">
        <v>792</v>
      </c>
      <c r="Q6" s="293" t="s">
        <v>409</v>
      </c>
      <c r="R6" s="293" t="s">
        <v>410</v>
      </c>
      <c r="S6" s="294" t="s">
        <v>793</v>
      </c>
      <c r="T6" s="294" t="s">
        <v>794</v>
      </c>
      <c r="U6" s="293" t="s">
        <v>411</v>
      </c>
      <c r="V6" s="293" t="s">
        <v>412</v>
      </c>
      <c r="W6" s="293" t="s">
        <v>413</v>
      </c>
      <c r="X6" s="707"/>
      <c r="Y6" s="707"/>
    </row>
    <row r="7" spans="1:25" ht="22.5" hidden="1" x14ac:dyDescent="0.2">
      <c r="A7" s="708" t="s">
        <v>178</v>
      </c>
      <c r="B7" s="708"/>
      <c r="C7" s="708"/>
      <c r="D7" s="708"/>
      <c r="E7" s="708"/>
      <c r="F7" s="708"/>
      <c r="G7" s="295">
        <v>2</v>
      </c>
      <c r="H7" s="293" t="s">
        <v>180</v>
      </c>
      <c r="I7" s="296" t="s">
        <v>181</v>
      </c>
      <c r="J7" s="293" t="s">
        <v>182</v>
      </c>
      <c r="K7" s="296" t="s">
        <v>183</v>
      </c>
      <c r="L7" s="293" t="s">
        <v>184</v>
      </c>
      <c r="M7" s="296" t="s">
        <v>185</v>
      </c>
      <c r="N7" s="293" t="s">
        <v>186</v>
      </c>
      <c r="O7" s="296" t="s">
        <v>187</v>
      </c>
      <c r="P7" s="293" t="s">
        <v>188</v>
      </c>
      <c r="Q7" s="296" t="s">
        <v>189</v>
      </c>
      <c r="R7" s="293" t="s">
        <v>190</v>
      </c>
      <c r="S7" s="293" t="s">
        <v>191</v>
      </c>
      <c r="T7" s="293" t="s">
        <v>192</v>
      </c>
      <c r="U7" s="293" t="s">
        <v>769</v>
      </c>
      <c r="V7" s="293" t="s">
        <v>414</v>
      </c>
      <c r="W7" s="293" t="s">
        <v>795</v>
      </c>
      <c r="X7" s="293">
        <v>19</v>
      </c>
      <c r="Y7" s="296" t="s">
        <v>796</v>
      </c>
    </row>
    <row r="8" spans="1:25" hidden="1" x14ac:dyDescent="0.2">
      <c r="A8" s="709" t="s">
        <v>415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0"/>
      <c r="Y8" s="711"/>
    </row>
    <row r="9" spans="1:25" hidden="1" x14ac:dyDescent="0.2">
      <c r="A9" s="712" t="s">
        <v>797</v>
      </c>
      <c r="B9" s="712"/>
      <c r="C9" s="712"/>
      <c r="D9" s="712"/>
      <c r="E9" s="712"/>
      <c r="F9" s="712"/>
      <c r="G9" s="297"/>
      <c r="H9" s="298">
        <v>19792159200</v>
      </c>
      <c r="I9" s="298"/>
      <c r="J9" s="298">
        <v>479129908</v>
      </c>
      <c r="K9" s="298"/>
      <c r="L9" s="298"/>
      <c r="M9" s="298"/>
      <c r="N9" s="298">
        <v>63936649</v>
      </c>
      <c r="O9" s="298"/>
      <c r="P9" s="298">
        <v>72050496</v>
      </c>
      <c r="Q9" s="298"/>
      <c r="R9" s="298"/>
      <c r="S9" s="298"/>
      <c r="T9" s="298"/>
      <c r="U9" s="298">
        <v>5071248516</v>
      </c>
      <c r="V9" s="298"/>
      <c r="W9" s="299">
        <f>H9+I9+J9+K9-L9+M9+N9+O9+P9+Q9+R9+U9+V9+S9+T9</f>
        <v>25478524769</v>
      </c>
      <c r="X9" s="298"/>
      <c r="Y9" s="299">
        <f>W9+X9</f>
        <v>25478524769</v>
      </c>
    </row>
    <row r="10" spans="1:25" hidden="1" x14ac:dyDescent="0.2">
      <c r="A10" s="713" t="s">
        <v>416</v>
      </c>
      <c r="B10" s="713"/>
      <c r="C10" s="713"/>
      <c r="D10" s="713"/>
      <c r="E10" s="713"/>
      <c r="F10" s="713"/>
      <c r="G10" s="297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9">
        <f>H10+I10+J10+K10-L10+M10+N10+O10+P10+Q10+R10+U10+V10+S10+T10</f>
        <v>0</v>
      </c>
      <c r="X10" s="298"/>
      <c r="Y10" s="299">
        <f>W10+X10</f>
        <v>0</v>
      </c>
    </row>
    <row r="11" spans="1:25" hidden="1" x14ac:dyDescent="0.2">
      <c r="A11" s="713" t="s">
        <v>417</v>
      </c>
      <c r="B11" s="713"/>
      <c r="C11" s="713"/>
      <c r="D11" s="713"/>
      <c r="E11" s="713"/>
      <c r="F11" s="713"/>
      <c r="G11" s="297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9">
        <f>H11+I11+J11+K11-L11+M11+N11+O11+P11+Q11+R11+U11+V11+S11+T11</f>
        <v>0</v>
      </c>
      <c r="X11" s="298"/>
      <c r="Y11" s="299">
        <f>W11+X11</f>
        <v>0</v>
      </c>
    </row>
    <row r="12" spans="1:25" hidden="1" x14ac:dyDescent="0.2">
      <c r="A12" s="687" t="s">
        <v>798</v>
      </c>
      <c r="B12" s="687"/>
      <c r="C12" s="687"/>
      <c r="D12" s="687"/>
      <c r="E12" s="687"/>
      <c r="F12" s="687"/>
      <c r="G12" s="300"/>
      <c r="H12" s="301">
        <f>H9+H10+H11</f>
        <v>19792159200</v>
      </c>
      <c r="I12" s="301">
        <f t="shared" ref="I12:Y12" si="0">I9+I10+I11</f>
        <v>0</v>
      </c>
      <c r="J12" s="301">
        <f t="shared" si="0"/>
        <v>479129908</v>
      </c>
      <c r="K12" s="301">
        <f t="shared" si="0"/>
        <v>0</v>
      </c>
      <c r="L12" s="301">
        <f t="shared" si="0"/>
        <v>0</v>
      </c>
      <c r="M12" s="301">
        <f t="shared" si="0"/>
        <v>0</v>
      </c>
      <c r="N12" s="301">
        <f t="shared" si="0"/>
        <v>63936649</v>
      </c>
      <c r="O12" s="301">
        <f t="shared" si="0"/>
        <v>0</v>
      </c>
      <c r="P12" s="301">
        <f t="shared" si="0"/>
        <v>72050496</v>
      </c>
      <c r="Q12" s="301">
        <f t="shared" si="0"/>
        <v>0</v>
      </c>
      <c r="R12" s="301">
        <f t="shared" si="0"/>
        <v>0</v>
      </c>
      <c r="S12" s="301">
        <f t="shared" si="0"/>
        <v>0</v>
      </c>
      <c r="T12" s="301">
        <f t="shared" si="0"/>
        <v>0</v>
      </c>
      <c r="U12" s="301">
        <f t="shared" si="0"/>
        <v>5071248516</v>
      </c>
      <c r="V12" s="301">
        <f t="shared" si="0"/>
        <v>0</v>
      </c>
      <c r="W12" s="301">
        <f t="shared" si="0"/>
        <v>25478524769</v>
      </c>
      <c r="X12" s="301">
        <f t="shared" si="0"/>
        <v>0</v>
      </c>
      <c r="Y12" s="301">
        <f t="shared" si="0"/>
        <v>25478524769</v>
      </c>
    </row>
    <row r="13" spans="1:25" hidden="1" x14ac:dyDescent="0.2">
      <c r="A13" s="713" t="s">
        <v>418</v>
      </c>
      <c r="B13" s="713"/>
      <c r="C13" s="713"/>
      <c r="D13" s="713"/>
      <c r="E13" s="713"/>
      <c r="F13" s="713"/>
      <c r="G13" s="297"/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  <c r="R13" s="302">
        <v>0</v>
      </c>
      <c r="S13" s="298"/>
      <c r="T13" s="298"/>
      <c r="U13" s="302">
        <v>0</v>
      </c>
      <c r="V13" s="298">
        <v>1060069163</v>
      </c>
      <c r="W13" s="299">
        <f t="shared" ref="W13:W31" si="1">H13+I13+J13+K13-L13+M13+N13+O13+P13+Q13+R13+U13+V13+S13+T13</f>
        <v>1060069163</v>
      </c>
      <c r="X13" s="298"/>
      <c r="Y13" s="299">
        <f t="shared" ref="Y13:Y31" si="2">W13+X13</f>
        <v>1060069163</v>
      </c>
    </row>
    <row r="14" spans="1:25" hidden="1" x14ac:dyDescent="0.2">
      <c r="A14" s="713" t="s">
        <v>419</v>
      </c>
      <c r="B14" s="713"/>
      <c r="C14" s="713"/>
      <c r="D14" s="713"/>
      <c r="E14" s="713"/>
      <c r="F14" s="713"/>
      <c r="G14" s="297"/>
      <c r="H14" s="302">
        <v>0</v>
      </c>
      <c r="I14" s="302">
        <v>0</v>
      </c>
      <c r="J14" s="302">
        <v>0</v>
      </c>
      <c r="K14" s="302">
        <v>0</v>
      </c>
      <c r="L14" s="302">
        <v>0</v>
      </c>
      <c r="M14" s="302">
        <v>0</v>
      </c>
      <c r="N14" s="298"/>
      <c r="O14" s="302">
        <v>0</v>
      </c>
      <c r="P14" s="302">
        <v>0</v>
      </c>
      <c r="Q14" s="302">
        <v>0</v>
      </c>
      <c r="R14" s="302">
        <v>0</v>
      </c>
      <c r="S14" s="298"/>
      <c r="T14" s="298"/>
      <c r="U14" s="302">
        <v>0</v>
      </c>
      <c r="V14" s="302">
        <v>0</v>
      </c>
      <c r="W14" s="299">
        <f t="shared" si="1"/>
        <v>0</v>
      </c>
      <c r="X14" s="298"/>
      <c r="Y14" s="299">
        <f t="shared" si="2"/>
        <v>0</v>
      </c>
    </row>
    <row r="15" spans="1:25" hidden="1" x14ac:dyDescent="0.2">
      <c r="A15" s="713" t="s">
        <v>420</v>
      </c>
      <c r="B15" s="713"/>
      <c r="C15" s="713"/>
      <c r="D15" s="713"/>
      <c r="E15" s="713"/>
      <c r="F15" s="713"/>
      <c r="G15" s="297"/>
      <c r="H15" s="302">
        <v>0</v>
      </c>
      <c r="I15" s="302">
        <v>0</v>
      </c>
      <c r="J15" s="302">
        <v>0</v>
      </c>
      <c r="K15" s="302">
        <v>0</v>
      </c>
      <c r="L15" s="302">
        <v>0</v>
      </c>
      <c r="M15" s="302">
        <v>0</v>
      </c>
      <c r="N15" s="302">
        <v>0</v>
      </c>
      <c r="O15" s="298"/>
      <c r="P15" s="302">
        <v>0</v>
      </c>
      <c r="Q15" s="302">
        <v>0</v>
      </c>
      <c r="R15" s="302">
        <v>0</v>
      </c>
      <c r="S15" s="298"/>
      <c r="T15" s="298"/>
      <c r="U15" s="298"/>
      <c r="V15" s="298"/>
      <c r="W15" s="299">
        <f t="shared" si="1"/>
        <v>0</v>
      </c>
      <c r="X15" s="298"/>
      <c r="Y15" s="299">
        <f t="shared" si="2"/>
        <v>0</v>
      </c>
    </row>
    <row r="16" spans="1:25" hidden="1" x14ac:dyDescent="0.2">
      <c r="A16" s="713" t="s">
        <v>799</v>
      </c>
      <c r="B16" s="713"/>
      <c r="C16" s="713"/>
      <c r="D16" s="713"/>
      <c r="E16" s="713"/>
      <c r="F16" s="713"/>
      <c r="G16" s="297"/>
      <c r="H16" s="302">
        <v>0</v>
      </c>
      <c r="I16" s="302">
        <v>0</v>
      </c>
      <c r="J16" s="302">
        <v>0</v>
      </c>
      <c r="K16" s="302">
        <v>0</v>
      </c>
      <c r="L16" s="302">
        <v>0</v>
      </c>
      <c r="M16" s="302">
        <v>0</v>
      </c>
      <c r="N16" s="302">
        <v>0</v>
      </c>
      <c r="O16" s="302">
        <v>0</v>
      </c>
      <c r="P16" s="298">
        <v>37748328</v>
      </c>
      <c r="Q16" s="302">
        <v>0</v>
      </c>
      <c r="R16" s="302">
        <v>0</v>
      </c>
      <c r="S16" s="298"/>
      <c r="T16" s="298"/>
      <c r="U16" s="298">
        <v>-872727</v>
      </c>
      <c r="V16" s="298"/>
      <c r="W16" s="299">
        <f t="shared" si="1"/>
        <v>36875601</v>
      </c>
      <c r="X16" s="298"/>
      <c r="Y16" s="299">
        <f t="shared" si="2"/>
        <v>36875601</v>
      </c>
    </row>
    <row r="17" spans="1:25" hidden="1" x14ac:dyDescent="0.2">
      <c r="A17" s="713" t="s">
        <v>421</v>
      </c>
      <c r="B17" s="713"/>
      <c r="C17" s="713"/>
      <c r="D17" s="713"/>
      <c r="E17" s="713"/>
      <c r="F17" s="713"/>
      <c r="G17" s="297"/>
      <c r="H17" s="302">
        <v>0</v>
      </c>
      <c r="I17" s="302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298"/>
      <c r="R17" s="302">
        <v>0</v>
      </c>
      <c r="S17" s="298"/>
      <c r="T17" s="298"/>
      <c r="U17" s="298"/>
      <c r="V17" s="298"/>
      <c r="W17" s="299">
        <f t="shared" si="1"/>
        <v>0</v>
      </c>
      <c r="X17" s="298"/>
      <c r="Y17" s="299">
        <f t="shared" si="2"/>
        <v>0</v>
      </c>
    </row>
    <row r="18" spans="1:25" hidden="1" x14ac:dyDescent="0.2">
      <c r="A18" s="713" t="s">
        <v>422</v>
      </c>
      <c r="B18" s="713"/>
      <c r="C18" s="713"/>
      <c r="D18" s="713"/>
      <c r="E18" s="713"/>
      <c r="F18" s="713"/>
      <c r="G18" s="297"/>
      <c r="H18" s="302">
        <v>0</v>
      </c>
      <c r="I18" s="302">
        <v>0</v>
      </c>
      <c r="J18" s="302">
        <v>0</v>
      </c>
      <c r="K18" s="302">
        <v>0</v>
      </c>
      <c r="L18" s="302">
        <v>0</v>
      </c>
      <c r="M18" s="302">
        <v>0</v>
      </c>
      <c r="N18" s="302">
        <v>0</v>
      </c>
      <c r="O18" s="302">
        <v>0</v>
      </c>
      <c r="P18" s="302">
        <v>0</v>
      </c>
      <c r="Q18" s="302">
        <v>0</v>
      </c>
      <c r="R18" s="298"/>
      <c r="S18" s="298"/>
      <c r="T18" s="298"/>
      <c r="U18" s="298"/>
      <c r="V18" s="298"/>
      <c r="W18" s="299">
        <f t="shared" si="1"/>
        <v>0</v>
      </c>
      <c r="X18" s="298"/>
      <c r="Y18" s="299">
        <f t="shared" si="2"/>
        <v>0</v>
      </c>
    </row>
    <row r="19" spans="1:25" hidden="1" x14ac:dyDescent="0.2">
      <c r="A19" s="713" t="s">
        <v>423</v>
      </c>
      <c r="B19" s="713"/>
      <c r="C19" s="713"/>
      <c r="D19" s="713"/>
      <c r="E19" s="713"/>
      <c r="F19" s="713"/>
      <c r="G19" s="297"/>
      <c r="H19" s="302">
        <v>0</v>
      </c>
      <c r="I19" s="302">
        <v>0</v>
      </c>
      <c r="J19" s="302">
        <v>0</v>
      </c>
      <c r="K19" s="302">
        <v>0</v>
      </c>
      <c r="L19" s="302">
        <v>0</v>
      </c>
      <c r="M19" s="302">
        <v>0</v>
      </c>
      <c r="N19" s="298"/>
      <c r="O19" s="298"/>
      <c r="P19" s="298"/>
      <c r="Q19" s="298"/>
      <c r="R19" s="298"/>
      <c r="S19" s="298"/>
      <c r="T19" s="298"/>
      <c r="U19" s="298"/>
      <c r="V19" s="298"/>
      <c r="W19" s="299">
        <f t="shared" si="1"/>
        <v>0</v>
      </c>
      <c r="X19" s="298"/>
      <c r="Y19" s="299">
        <f t="shared" si="2"/>
        <v>0</v>
      </c>
    </row>
    <row r="20" spans="1:25" hidden="1" x14ac:dyDescent="0.2">
      <c r="A20" s="713" t="s">
        <v>424</v>
      </c>
      <c r="B20" s="713"/>
      <c r="C20" s="713"/>
      <c r="D20" s="713"/>
      <c r="E20" s="713"/>
      <c r="F20" s="713"/>
      <c r="G20" s="297"/>
      <c r="H20" s="302">
        <v>0</v>
      </c>
      <c r="I20" s="302">
        <v>0</v>
      </c>
      <c r="J20" s="302">
        <v>0</v>
      </c>
      <c r="K20" s="302">
        <v>0</v>
      </c>
      <c r="L20" s="302">
        <v>0</v>
      </c>
      <c r="M20" s="302">
        <v>0</v>
      </c>
      <c r="N20" s="298"/>
      <c r="O20" s="298"/>
      <c r="P20" s="298"/>
      <c r="Q20" s="298"/>
      <c r="R20" s="298"/>
      <c r="S20" s="298"/>
      <c r="T20" s="298"/>
      <c r="U20" s="298"/>
      <c r="V20" s="298"/>
      <c r="W20" s="299">
        <f t="shared" si="1"/>
        <v>0</v>
      </c>
      <c r="X20" s="298"/>
      <c r="Y20" s="299">
        <f t="shared" si="2"/>
        <v>0</v>
      </c>
    </row>
    <row r="21" spans="1:25" hidden="1" x14ac:dyDescent="0.2">
      <c r="A21" s="713" t="s">
        <v>425</v>
      </c>
      <c r="B21" s="713"/>
      <c r="C21" s="713"/>
      <c r="D21" s="713"/>
      <c r="E21" s="713"/>
      <c r="F21" s="713"/>
      <c r="G21" s="297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>
        <f t="shared" si="1"/>
        <v>0</v>
      </c>
      <c r="X21" s="298"/>
      <c r="Y21" s="299">
        <f t="shared" si="2"/>
        <v>0</v>
      </c>
    </row>
    <row r="22" spans="1:25" hidden="1" x14ac:dyDescent="0.2">
      <c r="A22" s="713" t="s">
        <v>426</v>
      </c>
      <c r="B22" s="713"/>
      <c r="C22" s="713"/>
      <c r="D22" s="713"/>
      <c r="E22" s="713"/>
      <c r="F22" s="713"/>
      <c r="G22" s="297"/>
      <c r="H22" s="302">
        <v>0</v>
      </c>
      <c r="I22" s="302">
        <v>0</v>
      </c>
      <c r="J22" s="302">
        <v>0</v>
      </c>
      <c r="K22" s="302">
        <v>0</v>
      </c>
      <c r="L22" s="302">
        <v>0</v>
      </c>
      <c r="M22" s="302">
        <v>0</v>
      </c>
      <c r="N22" s="298"/>
      <c r="O22" s="298"/>
      <c r="P22" s="298"/>
      <c r="Q22" s="298"/>
      <c r="R22" s="298"/>
      <c r="S22" s="298"/>
      <c r="T22" s="298"/>
      <c r="U22" s="298"/>
      <c r="V22" s="298"/>
      <c r="W22" s="299">
        <f t="shared" si="1"/>
        <v>0</v>
      </c>
      <c r="X22" s="298"/>
      <c r="Y22" s="299">
        <f t="shared" si="2"/>
        <v>0</v>
      </c>
    </row>
    <row r="23" spans="1:25" hidden="1" x14ac:dyDescent="0.2">
      <c r="A23" s="713" t="s">
        <v>800</v>
      </c>
      <c r="B23" s="713"/>
      <c r="C23" s="713"/>
      <c r="D23" s="713"/>
      <c r="E23" s="713"/>
      <c r="F23" s="713"/>
      <c r="G23" s="297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9">
        <f t="shared" si="1"/>
        <v>0</v>
      </c>
      <c r="X23" s="298"/>
      <c r="Y23" s="299">
        <f t="shared" si="2"/>
        <v>0</v>
      </c>
    </row>
    <row r="24" spans="1:25" hidden="1" x14ac:dyDescent="0.2">
      <c r="A24" s="713" t="s">
        <v>801</v>
      </c>
      <c r="B24" s="713"/>
      <c r="C24" s="713"/>
      <c r="D24" s="713"/>
      <c r="E24" s="713"/>
      <c r="F24" s="713"/>
      <c r="G24" s="297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9">
        <f t="shared" si="1"/>
        <v>0</v>
      </c>
      <c r="X24" s="298"/>
      <c r="Y24" s="299">
        <f t="shared" si="2"/>
        <v>0</v>
      </c>
    </row>
    <row r="25" spans="1:25" hidden="1" x14ac:dyDescent="0.2">
      <c r="A25" s="713" t="s">
        <v>802</v>
      </c>
      <c r="B25" s="713"/>
      <c r="C25" s="713"/>
      <c r="D25" s="713"/>
      <c r="E25" s="713"/>
      <c r="F25" s="713"/>
      <c r="G25" s="297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9">
        <f t="shared" si="1"/>
        <v>0</v>
      </c>
      <c r="X25" s="298"/>
      <c r="Y25" s="299">
        <f t="shared" si="2"/>
        <v>0</v>
      </c>
    </row>
    <row r="26" spans="1:25" hidden="1" x14ac:dyDescent="0.2">
      <c r="A26" s="713" t="s">
        <v>427</v>
      </c>
      <c r="B26" s="713"/>
      <c r="C26" s="713"/>
      <c r="D26" s="713"/>
      <c r="E26" s="713"/>
      <c r="F26" s="713"/>
      <c r="G26" s="297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9">
        <f t="shared" si="1"/>
        <v>0</v>
      </c>
      <c r="X26" s="298"/>
      <c r="Y26" s="299">
        <f t="shared" si="2"/>
        <v>0</v>
      </c>
    </row>
    <row r="27" spans="1:25" hidden="1" x14ac:dyDescent="0.2">
      <c r="A27" s="713" t="s">
        <v>803</v>
      </c>
      <c r="B27" s="713"/>
      <c r="C27" s="713"/>
      <c r="D27" s="713"/>
      <c r="E27" s="713"/>
      <c r="F27" s="713"/>
      <c r="G27" s="297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9">
        <f t="shared" si="1"/>
        <v>0</v>
      </c>
      <c r="X27" s="298"/>
      <c r="Y27" s="299">
        <f t="shared" si="2"/>
        <v>0</v>
      </c>
    </row>
    <row r="28" spans="1:25" hidden="1" x14ac:dyDescent="0.2">
      <c r="A28" s="713" t="s">
        <v>804</v>
      </c>
      <c r="B28" s="713"/>
      <c r="C28" s="713"/>
      <c r="D28" s="713"/>
      <c r="E28" s="713"/>
      <c r="F28" s="713"/>
      <c r="G28" s="297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>
        <v>-840621515</v>
      </c>
      <c r="V28" s="298"/>
      <c r="W28" s="299">
        <f t="shared" si="1"/>
        <v>-840621515</v>
      </c>
      <c r="X28" s="298"/>
      <c r="Y28" s="299">
        <f t="shared" si="2"/>
        <v>-840621515</v>
      </c>
    </row>
    <row r="29" spans="1:25" hidden="1" x14ac:dyDescent="0.2">
      <c r="A29" s="713" t="s">
        <v>805</v>
      </c>
      <c r="B29" s="713"/>
      <c r="C29" s="713"/>
      <c r="D29" s="713"/>
      <c r="E29" s="713"/>
      <c r="F29" s="713"/>
      <c r="G29" s="297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9">
        <f t="shared" si="1"/>
        <v>0</v>
      </c>
      <c r="X29" s="298"/>
      <c r="Y29" s="299">
        <f t="shared" si="2"/>
        <v>0</v>
      </c>
    </row>
    <row r="30" spans="1:25" hidden="1" x14ac:dyDescent="0.2">
      <c r="A30" s="713" t="s">
        <v>806</v>
      </c>
      <c r="B30" s="713"/>
      <c r="C30" s="713"/>
      <c r="D30" s="713"/>
      <c r="E30" s="713"/>
      <c r="F30" s="713"/>
      <c r="G30" s="297"/>
      <c r="H30" s="298"/>
      <c r="I30" s="298"/>
      <c r="J30" s="298">
        <v>70051792</v>
      </c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>
        <f>490362550+840621515</f>
        <v>1330984065</v>
      </c>
      <c r="V30" s="298"/>
      <c r="W30" s="299">
        <f t="shared" si="1"/>
        <v>1401035857</v>
      </c>
      <c r="X30" s="298"/>
      <c r="Y30" s="299">
        <f t="shared" si="2"/>
        <v>1401035857</v>
      </c>
    </row>
    <row r="31" spans="1:25" hidden="1" x14ac:dyDescent="0.2">
      <c r="A31" s="713" t="s">
        <v>807</v>
      </c>
      <c r="B31" s="713"/>
      <c r="C31" s="713"/>
      <c r="D31" s="713"/>
      <c r="E31" s="713"/>
      <c r="F31" s="713"/>
      <c r="G31" s="297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9">
        <f t="shared" si="1"/>
        <v>0</v>
      </c>
      <c r="X31" s="298"/>
      <c r="Y31" s="299">
        <f t="shared" si="2"/>
        <v>0</v>
      </c>
    </row>
    <row r="32" spans="1:25" hidden="1" x14ac:dyDescent="0.2">
      <c r="A32" s="687" t="s">
        <v>808</v>
      </c>
      <c r="B32" s="687"/>
      <c r="C32" s="687"/>
      <c r="D32" s="687"/>
      <c r="E32" s="687"/>
      <c r="F32" s="687"/>
      <c r="G32" s="300"/>
      <c r="H32" s="301">
        <f>SUM(H12:H31)</f>
        <v>19792159200</v>
      </c>
      <c r="I32" s="301">
        <f t="shared" ref="I32:Y32" si="3">SUM(I12:I31)</f>
        <v>0</v>
      </c>
      <c r="J32" s="301">
        <f t="shared" si="3"/>
        <v>549181700</v>
      </c>
      <c r="K32" s="301">
        <f t="shared" si="3"/>
        <v>0</v>
      </c>
      <c r="L32" s="301">
        <f t="shared" si="3"/>
        <v>0</v>
      </c>
      <c r="M32" s="301">
        <f t="shared" si="3"/>
        <v>0</v>
      </c>
      <c r="N32" s="301">
        <f t="shared" si="3"/>
        <v>63936649</v>
      </c>
      <c r="O32" s="301">
        <f t="shared" si="3"/>
        <v>0</v>
      </c>
      <c r="P32" s="301">
        <f t="shared" si="3"/>
        <v>109798824</v>
      </c>
      <c r="Q32" s="301">
        <f t="shared" si="3"/>
        <v>0</v>
      </c>
      <c r="R32" s="301">
        <f t="shared" si="3"/>
        <v>0</v>
      </c>
      <c r="S32" s="301">
        <f t="shared" si="3"/>
        <v>0</v>
      </c>
      <c r="T32" s="301">
        <f t="shared" si="3"/>
        <v>0</v>
      </c>
      <c r="U32" s="301">
        <f t="shared" si="3"/>
        <v>5560738339</v>
      </c>
      <c r="V32" s="301">
        <f t="shared" si="3"/>
        <v>1060069163</v>
      </c>
      <c r="W32" s="301">
        <f t="shared" si="3"/>
        <v>27135883875</v>
      </c>
      <c r="X32" s="301">
        <f t="shared" si="3"/>
        <v>0</v>
      </c>
      <c r="Y32" s="301">
        <f t="shared" si="3"/>
        <v>27135883875</v>
      </c>
    </row>
    <row r="33" spans="1:25" hidden="1" x14ac:dyDescent="0.2">
      <c r="A33" s="709" t="s">
        <v>428</v>
      </c>
      <c r="B33" s="711"/>
      <c r="C33" s="711"/>
      <c r="D33" s="711"/>
      <c r="E33" s="711"/>
      <c r="F33" s="711"/>
      <c r="G33" s="711"/>
      <c r="H33" s="711"/>
      <c r="I33" s="711"/>
      <c r="J33" s="711"/>
      <c r="K33" s="711"/>
      <c r="L33" s="711"/>
      <c r="M33" s="711"/>
      <c r="N33" s="711"/>
      <c r="O33" s="711"/>
      <c r="P33" s="711"/>
      <c r="Q33" s="711"/>
      <c r="R33" s="711"/>
      <c r="S33" s="711"/>
      <c r="T33" s="711"/>
      <c r="U33" s="711"/>
      <c r="V33" s="711"/>
      <c r="W33" s="711"/>
      <c r="X33" s="711"/>
      <c r="Y33" s="711"/>
    </row>
    <row r="34" spans="1:25" hidden="1" x14ac:dyDescent="0.2">
      <c r="A34" s="714" t="s">
        <v>429</v>
      </c>
      <c r="B34" s="714"/>
      <c r="C34" s="714"/>
      <c r="D34" s="714"/>
      <c r="E34" s="714"/>
      <c r="F34" s="714"/>
      <c r="G34" s="300"/>
      <c r="H34" s="301">
        <f>SUM(H14:H22)</f>
        <v>0</v>
      </c>
      <c r="I34" s="301">
        <f t="shared" ref="I34:Y34" si="4">SUM(I14:I22)</f>
        <v>0</v>
      </c>
      <c r="J34" s="301">
        <f t="shared" si="4"/>
        <v>0</v>
      </c>
      <c r="K34" s="301">
        <f t="shared" si="4"/>
        <v>0</v>
      </c>
      <c r="L34" s="301">
        <f t="shared" si="4"/>
        <v>0</v>
      </c>
      <c r="M34" s="301">
        <f t="shared" si="4"/>
        <v>0</v>
      </c>
      <c r="N34" s="301">
        <f t="shared" si="4"/>
        <v>0</v>
      </c>
      <c r="O34" s="301">
        <f t="shared" si="4"/>
        <v>0</v>
      </c>
      <c r="P34" s="301">
        <f t="shared" si="4"/>
        <v>37748328</v>
      </c>
      <c r="Q34" s="301">
        <f t="shared" si="4"/>
        <v>0</v>
      </c>
      <c r="R34" s="301">
        <f t="shared" si="4"/>
        <v>0</v>
      </c>
      <c r="S34" s="301">
        <f t="shared" si="4"/>
        <v>0</v>
      </c>
      <c r="T34" s="301">
        <f t="shared" si="4"/>
        <v>0</v>
      </c>
      <c r="U34" s="301">
        <f t="shared" si="4"/>
        <v>-872727</v>
      </c>
      <c r="V34" s="301">
        <f t="shared" si="4"/>
        <v>0</v>
      </c>
      <c r="W34" s="301">
        <f t="shared" si="4"/>
        <v>36875601</v>
      </c>
      <c r="X34" s="301">
        <f t="shared" si="4"/>
        <v>0</v>
      </c>
      <c r="Y34" s="301">
        <f t="shared" si="4"/>
        <v>36875601</v>
      </c>
    </row>
    <row r="35" spans="1:25" hidden="1" x14ac:dyDescent="0.2">
      <c r="A35" s="714" t="s">
        <v>809</v>
      </c>
      <c r="B35" s="714"/>
      <c r="C35" s="714"/>
      <c r="D35" s="714"/>
      <c r="E35" s="714"/>
      <c r="F35" s="714"/>
      <c r="G35" s="300"/>
      <c r="H35" s="301">
        <f>H13+H34</f>
        <v>0</v>
      </c>
      <c r="I35" s="301">
        <f t="shared" ref="I35:Y35" si="5">I13+I34</f>
        <v>0</v>
      </c>
      <c r="J35" s="301">
        <f t="shared" si="5"/>
        <v>0</v>
      </c>
      <c r="K35" s="301">
        <f t="shared" si="5"/>
        <v>0</v>
      </c>
      <c r="L35" s="301">
        <f t="shared" si="5"/>
        <v>0</v>
      </c>
      <c r="M35" s="301">
        <f t="shared" si="5"/>
        <v>0</v>
      </c>
      <c r="N35" s="301">
        <f t="shared" si="5"/>
        <v>0</v>
      </c>
      <c r="O35" s="301">
        <f t="shared" si="5"/>
        <v>0</v>
      </c>
      <c r="P35" s="301">
        <f t="shared" si="5"/>
        <v>37748328</v>
      </c>
      <c r="Q35" s="301">
        <f t="shared" si="5"/>
        <v>0</v>
      </c>
      <c r="R35" s="301">
        <f t="shared" si="5"/>
        <v>0</v>
      </c>
      <c r="S35" s="301">
        <f t="shared" si="5"/>
        <v>0</v>
      </c>
      <c r="T35" s="301">
        <f t="shared" si="5"/>
        <v>0</v>
      </c>
      <c r="U35" s="301">
        <f t="shared" si="5"/>
        <v>-872727</v>
      </c>
      <c r="V35" s="301">
        <f t="shared" si="5"/>
        <v>1060069163</v>
      </c>
      <c r="W35" s="301">
        <f t="shared" si="5"/>
        <v>1096944764</v>
      </c>
      <c r="X35" s="301">
        <f t="shared" si="5"/>
        <v>0</v>
      </c>
      <c r="Y35" s="301">
        <f t="shared" si="5"/>
        <v>1096944764</v>
      </c>
    </row>
    <row r="36" spans="1:25" hidden="1" x14ac:dyDescent="0.2">
      <c r="A36" s="714" t="s">
        <v>810</v>
      </c>
      <c r="B36" s="714"/>
      <c r="C36" s="714"/>
      <c r="D36" s="714"/>
      <c r="E36" s="714"/>
      <c r="F36" s="714"/>
      <c r="G36" s="300"/>
      <c r="H36" s="301">
        <f t="shared" ref="H36:Y36" si="6">SUM(H23:H31)</f>
        <v>0</v>
      </c>
      <c r="I36" s="301">
        <f t="shared" si="6"/>
        <v>0</v>
      </c>
      <c r="J36" s="301">
        <f t="shared" si="6"/>
        <v>70051792</v>
      </c>
      <c r="K36" s="301">
        <f t="shared" si="6"/>
        <v>0</v>
      </c>
      <c r="L36" s="301">
        <f t="shared" si="6"/>
        <v>0</v>
      </c>
      <c r="M36" s="301">
        <f t="shared" si="6"/>
        <v>0</v>
      </c>
      <c r="N36" s="301">
        <f t="shared" si="6"/>
        <v>0</v>
      </c>
      <c r="O36" s="301">
        <f t="shared" si="6"/>
        <v>0</v>
      </c>
      <c r="P36" s="301">
        <f t="shared" si="6"/>
        <v>0</v>
      </c>
      <c r="Q36" s="301">
        <f t="shared" si="6"/>
        <v>0</v>
      </c>
      <c r="R36" s="301">
        <f t="shared" si="6"/>
        <v>0</v>
      </c>
      <c r="S36" s="301">
        <f t="shared" si="6"/>
        <v>0</v>
      </c>
      <c r="T36" s="301">
        <f t="shared" si="6"/>
        <v>0</v>
      </c>
      <c r="U36" s="301">
        <f t="shared" si="6"/>
        <v>490362550</v>
      </c>
      <c r="V36" s="301">
        <f t="shared" si="6"/>
        <v>0</v>
      </c>
      <c r="W36" s="301">
        <f t="shared" si="6"/>
        <v>560414342</v>
      </c>
      <c r="X36" s="301">
        <f t="shared" si="6"/>
        <v>0</v>
      </c>
      <c r="Y36" s="301">
        <f t="shared" si="6"/>
        <v>560414342</v>
      </c>
    </row>
    <row r="37" spans="1:25" ht="26.25" hidden="1" x14ac:dyDescent="0.4">
      <c r="A37" s="690" t="s">
        <v>396</v>
      </c>
      <c r="B37" s="690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  <c r="P37" s="690"/>
      <c r="Q37" s="690"/>
      <c r="R37" s="690"/>
      <c r="S37" s="690"/>
      <c r="T37" s="690"/>
      <c r="U37" s="690"/>
      <c r="V37" s="690"/>
      <c r="W37" s="691"/>
      <c r="X37" s="691"/>
      <c r="Y37" s="691"/>
    </row>
    <row r="38" spans="1:25" ht="21.75" hidden="1" thickBot="1" x14ac:dyDescent="0.4">
      <c r="A38" s="692" t="s">
        <v>910</v>
      </c>
      <c r="B38" s="692"/>
      <c r="C38" s="692"/>
      <c r="D38" s="692"/>
      <c r="E38" s="692"/>
      <c r="F38" s="692"/>
      <c r="G38" s="692"/>
      <c r="H38" s="692"/>
      <c r="I38" s="692"/>
      <c r="J38" s="692"/>
      <c r="K38" s="692"/>
      <c r="L38" s="692"/>
      <c r="M38" s="692"/>
      <c r="N38" s="692"/>
      <c r="O38" s="692"/>
      <c r="P38" s="692"/>
      <c r="Q38" s="692"/>
      <c r="R38" s="692"/>
      <c r="S38" s="692"/>
      <c r="T38" s="692"/>
      <c r="U38" s="692"/>
      <c r="V38" s="692"/>
      <c r="W38" s="693"/>
      <c r="X38" s="693"/>
      <c r="Y38" s="693"/>
    </row>
    <row r="39" spans="1:25" ht="15.75" hidden="1" thickTop="1" x14ac:dyDescent="0.25">
      <c r="A39" s="694" t="s">
        <v>170</v>
      </c>
      <c r="B39" s="694"/>
      <c r="C39" s="694"/>
      <c r="D39" s="694"/>
      <c r="E39" s="694"/>
      <c r="F39" s="694"/>
      <c r="G39" s="694"/>
      <c r="H39" s="694"/>
      <c r="I39" s="694"/>
      <c r="J39" s="694"/>
      <c r="K39" s="694"/>
      <c r="L39" s="59"/>
      <c r="M39" s="59"/>
      <c r="N39" s="59"/>
      <c r="O39" s="60"/>
      <c r="P39" s="60"/>
      <c r="Q39" s="60"/>
      <c r="R39" s="60"/>
      <c r="S39" s="60"/>
      <c r="T39" s="60"/>
      <c r="U39" s="60"/>
      <c r="W39"/>
      <c r="X39"/>
      <c r="Y39" s="61" t="s">
        <v>171</v>
      </c>
    </row>
    <row r="40" spans="1:25" hidden="1" x14ac:dyDescent="0.2">
      <c r="A40" s="695" t="s">
        <v>397</v>
      </c>
      <c r="B40" s="696"/>
      <c r="C40" s="696"/>
      <c r="D40" s="696"/>
      <c r="E40" s="696"/>
      <c r="F40" s="697"/>
      <c r="G40" s="701" t="s">
        <v>791</v>
      </c>
      <c r="H40" s="703" t="s">
        <v>398</v>
      </c>
      <c r="I40" s="704"/>
      <c r="J40" s="704"/>
      <c r="K40" s="704"/>
      <c r="L40" s="704"/>
      <c r="M40" s="704"/>
      <c r="N40" s="704"/>
      <c r="O40" s="704"/>
      <c r="P40" s="704"/>
      <c r="Q40" s="704"/>
      <c r="R40" s="704"/>
      <c r="S40" s="704"/>
      <c r="T40" s="704"/>
      <c r="U40" s="704"/>
      <c r="V40" s="704"/>
      <c r="W40" s="705"/>
      <c r="X40" s="706" t="s">
        <v>399</v>
      </c>
      <c r="Y40" s="706" t="s">
        <v>400</v>
      </c>
    </row>
    <row r="41" spans="1:25" ht="90" hidden="1" x14ac:dyDescent="0.2">
      <c r="A41" s="698"/>
      <c r="B41" s="699"/>
      <c r="C41" s="699"/>
      <c r="D41" s="699"/>
      <c r="E41" s="699"/>
      <c r="F41" s="700"/>
      <c r="G41" s="702"/>
      <c r="H41" s="293" t="s">
        <v>401</v>
      </c>
      <c r="I41" s="293" t="s">
        <v>402</v>
      </c>
      <c r="J41" s="293" t="s">
        <v>403</v>
      </c>
      <c r="K41" s="293" t="s">
        <v>404</v>
      </c>
      <c r="L41" s="293" t="s">
        <v>405</v>
      </c>
      <c r="M41" s="293" t="s">
        <v>406</v>
      </c>
      <c r="N41" s="293" t="s">
        <v>407</v>
      </c>
      <c r="O41" s="293" t="s">
        <v>408</v>
      </c>
      <c r="P41" s="294" t="s">
        <v>792</v>
      </c>
      <c r="Q41" s="293" t="s">
        <v>409</v>
      </c>
      <c r="R41" s="293" t="s">
        <v>410</v>
      </c>
      <c r="S41" s="294" t="s">
        <v>793</v>
      </c>
      <c r="T41" s="294" t="s">
        <v>794</v>
      </c>
      <c r="U41" s="293" t="s">
        <v>411</v>
      </c>
      <c r="V41" s="293" t="s">
        <v>412</v>
      </c>
      <c r="W41" s="293" t="s">
        <v>413</v>
      </c>
      <c r="X41" s="707"/>
      <c r="Y41" s="707"/>
    </row>
    <row r="42" spans="1:25" ht="22.5" hidden="1" x14ac:dyDescent="0.2">
      <c r="A42" s="708" t="s">
        <v>178</v>
      </c>
      <c r="B42" s="708"/>
      <c r="C42" s="708"/>
      <c r="D42" s="708"/>
      <c r="E42" s="708"/>
      <c r="F42" s="708"/>
      <c r="G42" s="295">
        <v>2</v>
      </c>
      <c r="H42" s="293" t="s">
        <v>180</v>
      </c>
      <c r="I42" s="296" t="s">
        <v>181</v>
      </c>
      <c r="J42" s="293" t="s">
        <v>182</v>
      </c>
      <c r="K42" s="296" t="s">
        <v>183</v>
      </c>
      <c r="L42" s="293" t="s">
        <v>184</v>
      </c>
      <c r="M42" s="296" t="s">
        <v>185</v>
      </c>
      <c r="N42" s="293" t="s">
        <v>186</v>
      </c>
      <c r="O42" s="296" t="s">
        <v>187</v>
      </c>
      <c r="P42" s="293" t="s">
        <v>188</v>
      </c>
      <c r="Q42" s="296" t="s">
        <v>189</v>
      </c>
      <c r="R42" s="293" t="s">
        <v>190</v>
      </c>
      <c r="S42" s="293" t="s">
        <v>191</v>
      </c>
      <c r="T42" s="293" t="s">
        <v>192</v>
      </c>
      <c r="U42" s="293" t="s">
        <v>769</v>
      </c>
      <c r="V42" s="293" t="s">
        <v>414</v>
      </c>
      <c r="W42" s="293" t="s">
        <v>795</v>
      </c>
      <c r="X42" s="293">
        <v>19</v>
      </c>
      <c r="Y42" s="296" t="s">
        <v>796</v>
      </c>
    </row>
    <row r="43" spans="1:25" hidden="1" x14ac:dyDescent="0.2">
      <c r="A43" s="709" t="s">
        <v>430</v>
      </c>
      <c r="B43" s="715"/>
      <c r="C43" s="715"/>
      <c r="D43" s="715"/>
      <c r="E43" s="715"/>
      <c r="F43" s="715"/>
      <c r="G43" s="715"/>
      <c r="H43" s="715"/>
      <c r="I43" s="715"/>
      <c r="J43" s="715"/>
      <c r="K43" s="715"/>
      <c r="L43" s="715"/>
      <c r="M43" s="715"/>
      <c r="N43" s="715"/>
      <c r="O43" s="715"/>
      <c r="P43" s="715"/>
      <c r="Q43" s="715"/>
      <c r="R43" s="715"/>
      <c r="S43" s="715"/>
      <c r="T43" s="715"/>
      <c r="U43" s="715"/>
      <c r="V43" s="715"/>
      <c r="W43" s="715"/>
      <c r="X43" s="715"/>
      <c r="Y43" s="715"/>
    </row>
    <row r="44" spans="1:25" hidden="1" x14ac:dyDescent="0.2">
      <c r="A44" s="712" t="s">
        <v>811</v>
      </c>
      <c r="B44" s="712"/>
      <c r="C44" s="712"/>
      <c r="D44" s="712"/>
      <c r="E44" s="712"/>
      <c r="F44" s="712"/>
      <c r="G44" s="297"/>
      <c r="H44" s="298">
        <f>H32</f>
        <v>19792159200</v>
      </c>
      <c r="I44" s="298"/>
      <c r="J44" s="298">
        <f>J32</f>
        <v>549181700</v>
      </c>
      <c r="K44" s="298"/>
      <c r="L44" s="298"/>
      <c r="M44" s="298"/>
      <c r="N44" s="298">
        <f>N32</f>
        <v>63936649</v>
      </c>
      <c r="O44" s="298"/>
      <c r="P44" s="298">
        <f>P32</f>
        <v>109798824</v>
      </c>
      <c r="Q44" s="298"/>
      <c r="R44" s="298"/>
      <c r="S44" s="298"/>
      <c r="T44" s="298"/>
      <c r="U44" s="298">
        <f>U32</f>
        <v>5560738339</v>
      </c>
      <c r="V44" s="298"/>
      <c r="W44" s="299">
        <f>H44+I44+J44+K44-L44+M44+N44+O44+P44+Q44+R44+U44+V44+S44+T44</f>
        <v>26075814712</v>
      </c>
      <c r="X44" s="298"/>
      <c r="Y44" s="299">
        <f>W44+X44</f>
        <v>26075814712</v>
      </c>
    </row>
    <row r="45" spans="1:25" hidden="1" x14ac:dyDescent="0.2">
      <c r="A45" s="713" t="s">
        <v>416</v>
      </c>
      <c r="B45" s="713"/>
      <c r="C45" s="713"/>
      <c r="D45" s="713"/>
      <c r="E45" s="713"/>
      <c r="F45" s="713"/>
      <c r="G45" s="297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9">
        <f>H45+I45+J45+K45-L45+M45+N45+O45+P45+Q45+R45+U45+V45+S45+T45</f>
        <v>0</v>
      </c>
      <c r="X45" s="298"/>
      <c r="Y45" s="299">
        <f>W45+X45</f>
        <v>0</v>
      </c>
    </row>
    <row r="46" spans="1:25" hidden="1" x14ac:dyDescent="0.2">
      <c r="A46" s="713" t="s">
        <v>417</v>
      </c>
      <c r="B46" s="713"/>
      <c r="C46" s="713"/>
      <c r="D46" s="713"/>
      <c r="E46" s="713"/>
      <c r="F46" s="713"/>
      <c r="G46" s="297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9">
        <f>H46+I46+J46+K46-L46+M46+N46+O46+P46+Q46+R46+U46+V46+S46+T46</f>
        <v>0</v>
      </c>
      <c r="X46" s="298"/>
      <c r="Y46" s="299">
        <f>W46+X46</f>
        <v>0</v>
      </c>
    </row>
    <row r="47" spans="1:25" hidden="1" x14ac:dyDescent="0.2">
      <c r="A47" s="687" t="s">
        <v>812</v>
      </c>
      <c r="B47" s="687"/>
      <c r="C47" s="687"/>
      <c r="D47" s="687"/>
      <c r="E47" s="687"/>
      <c r="F47" s="687"/>
      <c r="G47" s="300"/>
      <c r="H47" s="301">
        <f>H44+H45+H46</f>
        <v>19792159200</v>
      </c>
      <c r="I47" s="301">
        <f t="shared" ref="I47:Y47" si="7">I44+I45+I46</f>
        <v>0</v>
      </c>
      <c r="J47" s="301">
        <f t="shared" si="7"/>
        <v>549181700</v>
      </c>
      <c r="K47" s="301">
        <f t="shared" si="7"/>
        <v>0</v>
      </c>
      <c r="L47" s="301">
        <f t="shared" si="7"/>
        <v>0</v>
      </c>
      <c r="M47" s="301">
        <f t="shared" si="7"/>
        <v>0</v>
      </c>
      <c r="N47" s="301">
        <f t="shared" si="7"/>
        <v>63936649</v>
      </c>
      <c r="O47" s="301">
        <f t="shared" si="7"/>
        <v>0</v>
      </c>
      <c r="P47" s="301">
        <f t="shared" si="7"/>
        <v>109798824</v>
      </c>
      <c r="Q47" s="301">
        <f t="shared" si="7"/>
        <v>0</v>
      </c>
      <c r="R47" s="301">
        <f t="shared" si="7"/>
        <v>0</v>
      </c>
      <c r="S47" s="301">
        <f t="shared" si="7"/>
        <v>0</v>
      </c>
      <c r="T47" s="301">
        <f t="shared" si="7"/>
        <v>0</v>
      </c>
      <c r="U47" s="301">
        <f t="shared" si="7"/>
        <v>5560738339</v>
      </c>
      <c r="V47" s="301">
        <f t="shared" si="7"/>
        <v>0</v>
      </c>
      <c r="W47" s="301">
        <f t="shared" si="7"/>
        <v>26075814712</v>
      </c>
      <c r="X47" s="301">
        <f t="shared" si="7"/>
        <v>0</v>
      </c>
      <c r="Y47" s="301">
        <f t="shared" si="7"/>
        <v>26075814712</v>
      </c>
    </row>
    <row r="48" spans="1:25" hidden="1" x14ac:dyDescent="0.2">
      <c r="A48" s="713" t="s">
        <v>418</v>
      </c>
      <c r="B48" s="713"/>
      <c r="C48" s="713"/>
      <c r="D48" s="713"/>
      <c r="E48" s="713"/>
      <c r="F48" s="713"/>
      <c r="G48" s="297"/>
      <c r="H48" s="302">
        <v>0</v>
      </c>
      <c r="I48" s="302">
        <v>0</v>
      </c>
      <c r="J48" s="302">
        <v>0</v>
      </c>
      <c r="K48" s="302">
        <v>0</v>
      </c>
      <c r="L48" s="302">
        <v>0</v>
      </c>
      <c r="M48" s="302">
        <v>0</v>
      </c>
      <c r="N48" s="302">
        <v>0</v>
      </c>
      <c r="O48" s="302">
        <v>0</v>
      </c>
      <c r="P48" s="302">
        <v>0</v>
      </c>
      <c r="Q48" s="302">
        <v>0</v>
      </c>
      <c r="R48" s="302">
        <v>0</v>
      </c>
      <c r="S48" s="298"/>
      <c r="T48" s="298"/>
      <c r="U48" s="302">
        <v>0</v>
      </c>
      <c r="V48" s="298">
        <v>-4678117317</v>
      </c>
      <c r="W48" s="299">
        <f t="shared" ref="W48:W66" si="8">H48+I48+J48+K48-L48+M48+N48+O48+P48+Q48+R48+U48+V48+S48+T48</f>
        <v>-4678117317</v>
      </c>
      <c r="X48" s="298"/>
      <c r="Y48" s="299">
        <f t="shared" ref="Y48:Y66" si="9">W48+X48</f>
        <v>-4678117317</v>
      </c>
    </row>
    <row r="49" spans="1:25" hidden="1" x14ac:dyDescent="0.2">
      <c r="A49" s="713" t="s">
        <v>419</v>
      </c>
      <c r="B49" s="713"/>
      <c r="C49" s="713"/>
      <c r="D49" s="713"/>
      <c r="E49" s="713"/>
      <c r="F49" s="713"/>
      <c r="G49" s="297"/>
      <c r="H49" s="302">
        <v>0</v>
      </c>
      <c r="I49" s="302">
        <v>0</v>
      </c>
      <c r="J49" s="302">
        <v>0</v>
      </c>
      <c r="K49" s="302">
        <v>0</v>
      </c>
      <c r="L49" s="302">
        <v>0</v>
      </c>
      <c r="M49" s="302">
        <v>0</v>
      </c>
      <c r="N49" s="298"/>
      <c r="O49" s="302">
        <v>0</v>
      </c>
      <c r="P49" s="302">
        <v>0</v>
      </c>
      <c r="Q49" s="302">
        <v>0</v>
      </c>
      <c r="R49" s="302">
        <v>0</v>
      </c>
      <c r="S49" s="298"/>
      <c r="T49" s="298"/>
      <c r="U49" s="302">
        <v>0</v>
      </c>
      <c r="V49" s="302">
        <v>0</v>
      </c>
      <c r="W49" s="299">
        <f t="shared" si="8"/>
        <v>0</v>
      </c>
      <c r="X49" s="298"/>
      <c r="Y49" s="299">
        <f t="shared" si="9"/>
        <v>0</v>
      </c>
    </row>
    <row r="50" spans="1:25" hidden="1" x14ac:dyDescent="0.2">
      <c r="A50" s="713" t="s">
        <v>431</v>
      </c>
      <c r="B50" s="713"/>
      <c r="C50" s="713"/>
      <c r="D50" s="713"/>
      <c r="E50" s="713"/>
      <c r="F50" s="713"/>
      <c r="G50" s="297"/>
      <c r="H50" s="302">
        <v>0</v>
      </c>
      <c r="I50" s="302">
        <v>0</v>
      </c>
      <c r="J50" s="302">
        <v>0</v>
      </c>
      <c r="K50" s="302">
        <v>0</v>
      </c>
      <c r="L50" s="302">
        <v>0</v>
      </c>
      <c r="M50" s="302">
        <v>0</v>
      </c>
      <c r="N50" s="302">
        <v>0</v>
      </c>
      <c r="O50" s="298"/>
      <c r="P50" s="302">
        <v>0</v>
      </c>
      <c r="Q50" s="302">
        <v>0</v>
      </c>
      <c r="R50" s="302">
        <v>0</v>
      </c>
      <c r="S50" s="298"/>
      <c r="T50" s="298"/>
      <c r="U50" s="298"/>
      <c r="V50" s="298"/>
      <c r="W50" s="299">
        <f t="shared" si="8"/>
        <v>0</v>
      </c>
      <c r="X50" s="298"/>
      <c r="Y50" s="299">
        <f t="shared" si="9"/>
        <v>0</v>
      </c>
    </row>
    <row r="51" spans="1:25" hidden="1" x14ac:dyDescent="0.2">
      <c r="A51" s="713" t="s">
        <v>799</v>
      </c>
      <c r="B51" s="713"/>
      <c r="C51" s="713"/>
      <c r="D51" s="713"/>
      <c r="E51" s="713"/>
      <c r="F51" s="713"/>
      <c r="G51" s="297"/>
      <c r="H51" s="302">
        <v>0</v>
      </c>
      <c r="I51" s="302">
        <v>0</v>
      </c>
      <c r="J51" s="302">
        <v>0</v>
      </c>
      <c r="K51" s="302">
        <v>0</v>
      </c>
      <c r="L51" s="302">
        <v>0</v>
      </c>
      <c r="M51" s="302">
        <v>0</v>
      </c>
      <c r="N51" s="302">
        <v>0</v>
      </c>
      <c r="O51" s="302">
        <v>0</v>
      </c>
      <c r="P51" s="298">
        <v>36585916</v>
      </c>
      <c r="Q51" s="302">
        <v>0</v>
      </c>
      <c r="R51" s="302">
        <v>0</v>
      </c>
      <c r="S51" s="298"/>
      <c r="T51" s="298"/>
      <c r="U51" s="350"/>
      <c r="V51" s="298"/>
      <c r="W51" s="299">
        <f t="shared" si="8"/>
        <v>36585916</v>
      </c>
      <c r="X51" s="298"/>
      <c r="Y51" s="299">
        <f t="shared" si="9"/>
        <v>36585916</v>
      </c>
    </row>
    <row r="52" spans="1:25" hidden="1" x14ac:dyDescent="0.2">
      <c r="A52" s="713" t="s">
        <v>421</v>
      </c>
      <c r="B52" s="713"/>
      <c r="C52" s="713"/>
      <c r="D52" s="713"/>
      <c r="E52" s="713"/>
      <c r="F52" s="713"/>
      <c r="G52" s="297"/>
      <c r="H52" s="302">
        <v>0</v>
      </c>
      <c r="I52" s="302">
        <v>0</v>
      </c>
      <c r="J52" s="302">
        <v>0</v>
      </c>
      <c r="K52" s="302">
        <v>0</v>
      </c>
      <c r="L52" s="302">
        <v>0</v>
      </c>
      <c r="M52" s="302">
        <v>0</v>
      </c>
      <c r="N52" s="302">
        <v>0</v>
      </c>
      <c r="O52" s="302">
        <v>0</v>
      </c>
      <c r="P52" s="302">
        <v>0</v>
      </c>
      <c r="Q52" s="298"/>
      <c r="R52" s="302">
        <v>0</v>
      </c>
      <c r="S52" s="298"/>
      <c r="T52" s="298"/>
      <c r="U52" s="298"/>
      <c r="V52" s="298"/>
      <c r="W52" s="299">
        <f t="shared" si="8"/>
        <v>0</v>
      </c>
      <c r="X52" s="298"/>
      <c r="Y52" s="299">
        <f t="shared" si="9"/>
        <v>0</v>
      </c>
    </row>
    <row r="53" spans="1:25" hidden="1" x14ac:dyDescent="0.2">
      <c r="A53" s="713" t="s">
        <v>422</v>
      </c>
      <c r="B53" s="713"/>
      <c r="C53" s="713"/>
      <c r="D53" s="713"/>
      <c r="E53" s="713"/>
      <c r="F53" s="713"/>
      <c r="G53" s="297"/>
      <c r="H53" s="302">
        <v>0</v>
      </c>
      <c r="I53" s="302">
        <v>0</v>
      </c>
      <c r="J53" s="302">
        <v>0</v>
      </c>
      <c r="K53" s="302">
        <v>0</v>
      </c>
      <c r="L53" s="302">
        <v>0</v>
      </c>
      <c r="M53" s="302">
        <v>0</v>
      </c>
      <c r="N53" s="302">
        <v>0</v>
      </c>
      <c r="O53" s="302">
        <v>0</v>
      </c>
      <c r="P53" s="302">
        <v>0</v>
      </c>
      <c r="Q53" s="302">
        <v>0</v>
      </c>
      <c r="R53" s="298"/>
      <c r="S53" s="298"/>
      <c r="T53" s="298"/>
      <c r="U53" s="298"/>
      <c r="V53" s="298"/>
      <c r="W53" s="299">
        <f t="shared" si="8"/>
        <v>0</v>
      </c>
      <c r="X53" s="298"/>
      <c r="Y53" s="299">
        <f t="shared" si="9"/>
        <v>0</v>
      </c>
    </row>
    <row r="54" spans="1:25" hidden="1" x14ac:dyDescent="0.2">
      <c r="A54" s="713" t="s">
        <v>432</v>
      </c>
      <c r="B54" s="713"/>
      <c r="C54" s="713"/>
      <c r="D54" s="713"/>
      <c r="E54" s="713"/>
      <c r="F54" s="713"/>
      <c r="G54" s="297"/>
      <c r="H54" s="302">
        <v>0</v>
      </c>
      <c r="I54" s="302">
        <v>0</v>
      </c>
      <c r="J54" s="302">
        <v>0</v>
      </c>
      <c r="K54" s="302">
        <v>0</v>
      </c>
      <c r="L54" s="302">
        <v>0</v>
      </c>
      <c r="M54" s="302">
        <v>0</v>
      </c>
      <c r="N54" s="298"/>
      <c r="O54" s="298"/>
      <c r="P54" s="298"/>
      <c r="Q54" s="298"/>
      <c r="R54" s="298"/>
      <c r="S54" s="298"/>
      <c r="T54" s="298"/>
      <c r="U54" s="298"/>
      <c r="V54" s="298"/>
      <c r="W54" s="299">
        <f t="shared" si="8"/>
        <v>0</v>
      </c>
      <c r="X54" s="298"/>
      <c r="Y54" s="299">
        <f t="shared" si="9"/>
        <v>0</v>
      </c>
    </row>
    <row r="55" spans="1:25" hidden="1" x14ac:dyDescent="0.2">
      <c r="A55" s="713" t="s">
        <v>424</v>
      </c>
      <c r="B55" s="713"/>
      <c r="C55" s="713"/>
      <c r="D55" s="713"/>
      <c r="E55" s="713"/>
      <c r="F55" s="713"/>
      <c r="G55" s="297"/>
      <c r="H55" s="302">
        <v>0</v>
      </c>
      <c r="I55" s="302">
        <v>0</v>
      </c>
      <c r="J55" s="302">
        <v>0</v>
      </c>
      <c r="K55" s="302">
        <v>0</v>
      </c>
      <c r="L55" s="302">
        <v>0</v>
      </c>
      <c r="M55" s="302">
        <v>0</v>
      </c>
      <c r="N55" s="298"/>
      <c r="O55" s="298"/>
      <c r="P55" s="298"/>
      <c r="Q55" s="298"/>
      <c r="R55" s="298"/>
      <c r="S55" s="298"/>
      <c r="T55" s="298"/>
      <c r="U55" s="298"/>
      <c r="V55" s="298"/>
      <c r="W55" s="299">
        <f t="shared" si="8"/>
        <v>0</v>
      </c>
      <c r="X55" s="298"/>
      <c r="Y55" s="299">
        <f t="shared" si="9"/>
        <v>0</v>
      </c>
    </row>
    <row r="56" spans="1:25" hidden="1" x14ac:dyDescent="0.2">
      <c r="A56" s="713" t="s">
        <v>425</v>
      </c>
      <c r="B56" s="713"/>
      <c r="C56" s="713"/>
      <c r="D56" s="713"/>
      <c r="E56" s="713"/>
      <c r="F56" s="713"/>
      <c r="G56" s="297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9">
        <f t="shared" si="8"/>
        <v>0</v>
      </c>
      <c r="X56" s="298"/>
      <c r="Y56" s="299">
        <f t="shared" si="9"/>
        <v>0</v>
      </c>
    </row>
    <row r="57" spans="1:25" hidden="1" x14ac:dyDescent="0.2">
      <c r="A57" s="713" t="s">
        <v>426</v>
      </c>
      <c r="B57" s="713"/>
      <c r="C57" s="713"/>
      <c r="D57" s="713"/>
      <c r="E57" s="713"/>
      <c r="F57" s="713"/>
      <c r="G57" s="297"/>
      <c r="H57" s="302">
        <v>0</v>
      </c>
      <c r="I57" s="302">
        <v>0</v>
      </c>
      <c r="J57" s="302">
        <v>0</v>
      </c>
      <c r="K57" s="302">
        <v>0</v>
      </c>
      <c r="L57" s="302">
        <v>0</v>
      </c>
      <c r="M57" s="302">
        <v>0</v>
      </c>
      <c r="N57" s="298"/>
      <c r="O57" s="298"/>
      <c r="P57" s="298"/>
      <c r="Q57" s="298"/>
      <c r="R57" s="298"/>
      <c r="S57" s="298"/>
      <c r="T57" s="298"/>
      <c r="U57" s="298"/>
      <c r="V57" s="298"/>
      <c r="W57" s="299">
        <f t="shared" si="8"/>
        <v>0</v>
      </c>
      <c r="X57" s="298"/>
      <c r="Y57" s="299">
        <f t="shared" si="9"/>
        <v>0</v>
      </c>
    </row>
    <row r="58" spans="1:25" hidden="1" x14ac:dyDescent="0.2">
      <c r="A58" s="713" t="s">
        <v>800</v>
      </c>
      <c r="B58" s="713"/>
      <c r="C58" s="713"/>
      <c r="D58" s="713"/>
      <c r="E58" s="713"/>
      <c r="F58" s="713"/>
      <c r="G58" s="297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9">
        <f t="shared" si="8"/>
        <v>0</v>
      </c>
      <c r="X58" s="298"/>
      <c r="Y58" s="299">
        <f t="shared" si="9"/>
        <v>0</v>
      </c>
    </row>
    <row r="59" spans="1:25" hidden="1" x14ac:dyDescent="0.2">
      <c r="A59" s="713" t="s">
        <v>801</v>
      </c>
      <c r="B59" s="713"/>
      <c r="C59" s="713"/>
      <c r="D59" s="713"/>
      <c r="E59" s="713"/>
      <c r="F59" s="713"/>
      <c r="G59" s="297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9">
        <f t="shared" si="8"/>
        <v>0</v>
      </c>
      <c r="X59" s="298"/>
      <c r="Y59" s="299">
        <f t="shared" si="9"/>
        <v>0</v>
      </c>
    </row>
    <row r="60" spans="1:25" hidden="1" x14ac:dyDescent="0.2">
      <c r="A60" s="713" t="s">
        <v>802</v>
      </c>
      <c r="B60" s="713"/>
      <c r="C60" s="713"/>
      <c r="D60" s="713"/>
      <c r="E60" s="713"/>
      <c r="F60" s="713"/>
      <c r="G60" s="297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9">
        <f t="shared" si="8"/>
        <v>0</v>
      </c>
      <c r="X60" s="298"/>
      <c r="Y60" s="299">
        <f t="shared" si="9"/>
        <v>0</v>
      </c>
    </row>
    <row r="61" spans="1:25" hidden="1" x14ac:dyDescent="0.2">
      <c r="A61" s="713" t="s">
        <v>427</v>
      </c>
      <c r="B61" s="713"/>
      <c r="C61" s="713"/>
      <c r="D61" s="713"/>
      <c r="E61" s="713"/>
      <c r="F61" s="713"/>
      <c r="G61" s="297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9">
        <f t="shared" si="8"/>
        <v>0</v>
      </c>
      <c r="X61" s="298"/>
      <c r="Y61" s="299">
        <f t="shared" si="9"/>
        <v>0</v>
      </c>
    </row>
    <row r="62" spans="1:25" hidden="1" x14ac:dyDescent="0.2">
      <c r="A62" s="713" t="s">
        <v>803</v>
      </c>
      <c r="B62" s="713"/>
      <c r="C62" s="713"/>
      <c r="D62" s="713"/>
      <c r="E62" s="713"/>
      <c r="F62" s="713"/>
      <c r="G62" s="297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9">
        <f t="shared" si="8"/>
        <v>0</v>
      </c>
      <c r="X62" s="298"/>
      <c r="Y62" s="299">
        <f t="shared" si="9"/>
        <v>0</v>
      </c>
    </row>
    <row r="63" spans="1:25" hidden="1" x14ac:dyDescent="0.2">
      <c r="A63" s="713" t="s">
        <v>813</v>
      </c>
      <c r="B63" s="713"/>
      <c r="C63" s="713"/>
      <c r="D63" s="713"/>
      <c r="E63" s="713"/>
      <c r="F63" s="713"/>
      <c r="G63" s="297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350"/>
      <c r="V63" s="298"/>
      <c r="W63" s="299">
        <f t="shared" si="8"/>
        <v>0</v>
      </c>
      <c r="X63" s="298"/>
      <c r="Y63" s="299">
        <f t="shared" si="9"/>
        <v>0</v>
      </c>
    </row>
    <row r="64" spans="1:25" hidden="1" x14ac:dyDescent="0.2">
      <c r="A64" s="713" t="s">
        <v>805</v>
      </c>
      <c r="B64" s="713"/>
      <c r="C64" s="713"/>
      <c r="D64" s="713"/>
      <c r="E64" s="713"/>
      <c r="F64" s="713"/>
      <c r="G64" s="297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9">
        <f t="shared" si="8"/>
        <v>0</v>
      </c>
      <c r="X64" s="298"/>
      <c r="Y64" s="299">
        <f t="shared" si="9"/>
        <v>0</v>
      </c>
    </row>
    <row r="65" spans="1:25" hidden="1" x14ac:dyDescent="0.2">
      <c r="A65" s="713" t="s">
        <v>814</v>
      </c>
      <c r="B65" s="713"/>
      <c r="C65" s="713"/>
      <c r="D65" s="713"/>
      <c r="E65" s="713"/>
      <c r="F65" s="713"/>
      <c r="G65" s="297"/>
      <c r="H65" s="298"/>
      <c r="I65" s="298"/>
      <c r="J65" s="298">
        <v>53003458</v>
      </c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>
        <v>1007065705</v>
      </c>
      <c r="V65" s="298"/>
      <c r="W65" s="299">
        <f t="shared" si="8"/>
        <v>1060069163</v>
      </c>
      <c r="X65" s="298"/>
      <c r="Y65" s="299">
        <f t="shared" si="9"/>
        <v>1060069163</v>
      </c>
    </row>
    <row r="66" spans="1:25" hidden="1" x14ac:dyDescent="0.2">
      <c r="A66" s="713" t="s">
        <v>807</v>
      </c>
      <c r="B66" s="713"/>
      <c r="C66" s="713"/>
      <c r="D66" s="713"/>
      <c r="E66" s="713"/>
      <c r="F66" s="713"/>
      <c r="G66" s="297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9">
        <f t="shared" si="8"/>
        <v>0</v>
      </c>
      <c r="X66" s="298"/>
      <c r="Y66" s="299">
        <f t="shared" si="9"/>
        <v>0</v>
      </c>
    </row>
    <row r="67" spans="1:25" hidden="1" x14ac:dyDescent="0.2">
      <c r="A67" s="687" t="s">
        <v>815</v>
      </c>
      <c r="B67" s="687"/>
      <c r="C67" s="687"/>
      <c r="D67" s="687"/>
      <c r="E67" s="687"/>
      <c r="F67" s="687"/>
      <c r="G67" s="300"/>
      <c r="H67" s="301">
        <f t="shared" ref="H67:T67" si="10">SUM(H47:H66)</f>
        <v>19792159200</v>
      </c>
      <c r="I67" s="301">
        <f t="shared" si="10"/>
        <v>0</v>
      </c>
      <c r="J67" s="301">
        <f t="shared" si="10"/>
        <v>602185158</v>
      </c>
      <c r="K67" s="301">
        <f t="shared" si="10"/>
        <v>0</v>
      </c>
      <c r="L67" s="301">
        <f t="shared" si="10"/>
        <v>0</v>
      </c>
      <c r="M67" s="301">
        <f t="shared" si="10"/>
        <v>0</v>
      </c>
      <c r="N67" s="301">
        <f t="shared" si="10"/>
        <v>63936649</v>
      </c>
      <c r="O67" s="301">
        <f t="shared" si="10"/>
        <v>0</v>
      </c>
      <c r="P67" s="301">
        <f t="shared" si="10"/>
        <v>146384740</v>
      </c>
      <c r="Q67" s="301">
        <f t="shared" si="10"/>
        <v>0</v>
      </c>
      <c r="R67" s="301">
        <f t="shared" si="10"/>
        <v>0</v>
      </c>
      <c r="S67" s="301">
        <f t="shared" si="10"/>
        <v>0</v>
      </c>
      <c r="T67" s="301">
        <f t="shared" si="10"/>
        <v>0</v>
      </c>
      <c r="U67" s="301">
        <f>SUM(U47:U66)</f>
        <v>6567804044</v>
      </c>
      <c r="V67" s="301">
        <f>SUM(V47:V66)</f>
        <v>-4678117317</v>
      </c>
      <c r="W67" s="301">
        <f>SUM(W47:W66)</f>
        <v>22494352474</v>
      </c>
      <c r="X67" s="301">
        <f>SUM(X47:X66)</f>
        <v>0</v>
      </c>
      <c r="Y67" s="301">
        <f>SUM(Y47:Y66)</f>
        <v>22494352474</v>
      </c>
    </row>
    <row r="68" spans="1:25" hidden="1" x14ac:dyDescent="0.2">
      <c r="A68" s="709" t="s">
        <v>428</v>
      </c>
      <c r="B68" s="711"/>
      <c r="C68" s="711"/>
      <c r="D68" s="711"/>
      <c r="E68" s="711"/>
      <c r="F68" s="711"/>
      <c r="G68" s="711"/>
      <c r="H68" s="711"/>
      <c r="I68" s="711"/>
      <c r="J68" s="711"/>
      <c r="K68" s="711"/>
      <c r="L68" s="711"/>
      <c r="M68" s="711"/>
      <c r="N68" s="711"/>
      <c r="O68" s="711"/>
      <c r="P68" s="711"/>
      <c r="Q68" s="711"/>
      <c r="R68" s="711"/>
      <c r="S68" s="711"/>
      <c r="T68" s="711"/>
      <c r="U68" s="711"/>
      <c r="V68" s="711"/>
      <c r="W68" s="711"/>
      <c r="X68" s="711"/>
      <c r="Y68" s="711"/>
    </row>
    <row r="69" spans="1:25" hidden="1" x14ac:dyDescent="0.2">
      <c r="A69" s="714" t="s">
        <v>816</v>
      </c>
      <c r="B69" s="714"/>
      <c r="C69" s="714"/>
      <c r="D69" s="714"/>
      <c r="E69" s="714"/>
      <c r="F69" s="714"/>
      <c r="G69" s="300"/>
      <c r="H69" s="301">
        <f t="shared" ref="H69:T69" si="11">SUM(H49:H57)</f>
        <v>0</v>
      </c>
      <c r="I69" s="301">
        <f t="shared" si="11"/>
        <v>0</v>
      </c>
      <c r="J69" s="301">
        <f t="shared" si="11"/>
        <v>0</v>
      </c>
      <c r="K69" s="301">
        <f t="shared" si="11"/>
        <v>0</v>
      </c>
      <c r="L69" s="301">
        <f t="shared" si="11"/>
        <v>0</v>
      </c>
      <c r="M69" s="301">
        <f t="shared" si="11"/>
        <v>0</v>
      </c>
      <c r="N69" s="301">
        <f t="shared" si="11"/>
        <v>0</v>
      </c>
      <c r="O69" s="301">
        <f t="shared" si="11"/>
        <v>0</v>
      </c>
      <c r="P69" s="301">
        <f t="shared" si="11"/>
        <v>36585916</v>
      </c>
      <c r="Q69" s="301">
        <f t="shared" si="11"/>
        <v>0</v>
      </c>
      <c r="R69" s="301">
        <f t="shared" si="11"/>
        <v>0</v>
      </c>
      <c r="S69" s="301">
        <f t="shared" si="11"/>
        <v>0</v>
      </c>
      <c r="T69" s="301">
        <f t="shared" si="11"/>
        <v>0</v>
      </c>
      <c r="U69" s="301">
        <f>SUM(U49:U57)</f>
        <v>0</v>
      </c>
      <c r="V69" s="301">
        <f>SUM(V49:V57)</f>
        <v>0</v>
      </c>
      <c r="W69" s="301">
        <f>SUM(W49:W57)</f>
        <v>36585916</v>
      </c>
      <c r="X69" s="301">
        <f>SUM(X49:X57)</f>
        <v>0</v>
      </c>
      <c r="Y69" s="301">
        <f>SUM(Y49:Y57)</f>
        <v>36585916</v>
      </c>
    </row>
    <row r="70" spans="1:25" hidden="1" x14ac:dyDescent="0.2">
      <c r="A70" s="714" t="s">
        <v>817</v>
      </c>
      <c r="B70" s="714"/>
      <c r="C70" s="714"/>
      <c r="D70" s="714"/>
      <c r="E70" s="714"/>
      <c r="F70" s="714"/>
      <c r="G70" s="300"/>
      <c r="H70" s="301">
        <f t="shared" ref="H70:T70" si="12">H48+H69</f>
        <v>0</v>
      </c>
      <c r="I70" s="301">
        <f t="shared" si="12"/>
        <v>0</v>
      </c>
      <c r="J70" s="301">
        <f t="shared" si="12"/>
        <v>0</v>
      </c>
      <c r="K70" s="301">
        <f t="shared" si="12"/>
        <v>0</v>
      </c>
      <c r="L70" s="301">
        <f t="shared" si="12"/>
        <v>0</v>
      </c>
      <c r="M70" s="301">
        <f t="shared" si="12"/>
        <v>0</v>
      </c>
      <c r="N70" s="301">
        <f t="shared" si="12"/>
        <v>0</v>
      </c>
      <c r="O70" s="301">
        <f t="shared" si="12"/>
        <v>0</v>
      </c>
      <c r="P70" s="301">
        <f t="shared" si="12"/>
        <v>36585916</v>
      </c>
      <c r="Q70" s="301">
        <f t="shared" si="12"/>
        <v>0</v>
      </c>
      <c r="R70" s="301">
        <f t="shared" si="12"/>
        <v>0</v>
      </c>
      <c r="S70" s="301">
        <f t="shared" si="12"/>
        <v>0</v>
      </c>
      <c r="T70" s="301">
        <f t="shared" si="12"/>
        <v>0</v>
      </c>
      <c r="U70" s="301">
        <f>U48+U69</f>
        <v>0</v>
      </c>
      <c r="V70" s="301">
        <f>V48+V69</f>
        <v>-4678117317</v>
      </c>
      <c r="W70" s="301">
        <f>W48+W69</f>
        <v>-4641531401</v>
      </c>
      <c r="X70" s="301">
        <f>X48+X69</f>
        <v>0</v>
      </c>
      <c r="Y70" s="301">
        <f>Y48+Y69</f>
        <v>-4641531401</v>
      </c>
    </row>
    <row r="71" spans="1:25" hidden="1" x14ac:dyDescent="0.2">
      <c r="A71" s="714" t="s">
        <v>818</v>
      </c>
      <c r="B71" s="714"/>
      <c r="C71" s="714"/>
      <c r="D71" s="714"/>
      <c r="E71" s="714"/>
      <c r="F71" s="714"/>
      <c r="G71" s="300"/>
      <c r="H71" s="301">
        <f t="shared" ref="H71:T71" si="13">SUM(H58:H66)</f>
        <v>0</v>
      </c>
      <c r="I71" s="301">
        <f t="shared" si="13"/>
        <v>0</v>
      </c>
      <c r="J71" s="301">
        <f t="shared" si="13"/>
        <v>53003458</v>
      </c>
      <c r="K71" s="301">
        <f t="shared" si="13"/>
        <v>0</v>
      </c>
      <c r="L71" s="301">
        <f t="shared" si="13"/>
        <v>0</v>
      </c>
      <c r="M71" s="301">
        <f t="shared" si="13"/>
        <v>0</v>
      </c>
      <c r="N71" s="301">
        <f t="shared" si="13"/>
        <v>0</v>
      </c>
      <c r="O71" s="301">
        <f t="shared" si="13"/>
        <v>0</v>
      </c>
      <c r="P71" s="301">
        <f t="shared" si="13"/>
        <v>0</v>
      </c>
      <c r="Q71" s="301">
        <f t="shared" si="13"/>
        <v>0</v>
      </c>
      <c r="R71" s="301">
        <f t="shared" si="13"/>
        <v>0</v>
      </c>
      <c r="S71" s="301">
        <f t="shared" si="13"/>
        <v>0</v>
      </c>
      <c r="T71" s="301">
        <f t="shared" si="13"/>
        <v>0</v>
      </c>
      <c r="U71" s="301">
        <f>SUM(U58:U66)</f>
        <v>1007065705</v>
      </c>
      <c r="V71" s="301">
        <f>SUM(V58:V66)</f>
        <v>0</v>
      </c>
      <c r="W71" s="301">
        <f>SUM(W58:W66)</f>
        <v>1060069163</v>
      </c>
      <c r="X71" s="301">
        <f>SUM(X58:X66)</f>
        <v>0</v>
      </c>
      <c r="Y71" s="301">
        <f>SUM(Y58:Y66)</f>
        <v>1060069163</v>
      </c>
    </row>
    <row r="72" spans="1:25" hidden="1" x14ac:dyDescent="0.2"/>
    <row r="73" spans="1:25" hidden="1" x14ac:dyDescent="0.2"/>
    <row r="74" spans="1:25" hidden="1" x14ac:dyDescent="0.2">
      <c r="A74" s="55" t="s">
        <v>127</v>
      </c>
      <c r="B74" s="636" t="s">
        <v>394</v>
      </c>
      <c r="C74" s="636"/>
      <c r="D74" s="636"/>
      <c r="E74" s="4" t="s">
        <v>395</v>
      </c>
      <c r="F74" s="637" t="s">
        <v>768</v>
      </c>
      <c r="G74" s="637"/>
      <c r="H74" s="636"/>
      <c r="I74" s="636"/>
    </row>
    <row r="75" spans="1:25" hidden="1" x14ac:dyDescent="0.2">
      <c r="A75" s="55"/>
      <c r="B75" s="5"/>
      <c r="C75" s="5"/>
      <c r="D75" s="5"/>
      <c r="E75" s="4"/>
      <c r="F75" s="384"/>
      <c r="G75" s="384"/>
      <c r="H75" s="5"/>
      <c r="I75" s="5"/>
    </row>
    <row r="76" spans="1:25" hidden="1" x14ac:dyDescent="0.2">
      <c r="A76" s="2"/>
      <c r="B76" s="2"/>
      <c r="C76" s="2"/>
      <c r="D76" s="2"/>
      <c r="E76" s="2"/>
      <c r="F76" s="2"/>
      <c r="G76" s="57"/>
      <c r="H76" s="3"/>
      <c r="I76" s="3"/>
    </row>
    <row r="77" spans="1:25" hidden="1" x14ac:dyDescent="0.2">
      <c r="A77" s="386" t="s">
        <v>908</v>
      </c>
      <c r="B77" s="386"/>
      <c r="C77" s="386"/>
      <c r="D77" s="386"/>
      <c r="E77" s="386"/>
      <c r="F77" s="386"/>
      <c r="G77" s="386"/>
      <c r="H77" s="386"/>
      <c r="I77" s="386"/>
      <c r="J77" s="340"/>
    </row>
    <row r="78" spans="1:25" hidden="1" x14ac:dyDescent="0.2">
      <c r="A78" s="385"/>
      <c r="B78" s="385"/>
      <c r="C78" s="385"/>
      <c r="D78" s="385"/>
      <c r="E78" s="385"/>
      <c r="F78" s="385"/>
      <c r="G78" s="385"/>
      <c r="H78" s="385"/>
      <c r="I78" s="385"/>
    </row>
    <row r="79" spans="1:25" hidden="1" x14ac:dyDescent="0.2"/>
    <row r="80" spans="1:25" hidden="1" x14ac:dyDescent="0.2">
      <c r="A80" s="432"/>
      <c r="B80" s="432"/>
      <c r="C80" s="432"/>
      <c r="D80" s="432"/>
      <c r="E80" s="432"/>
      <c r="F80" s="432"/>
      <c r="G80" s="432"/>
      <c r="H80" s="433"/>
      <c r="I80" s="433"/>
      <c r="J80" s="433"/>
      <c r="K80" s="433"/>
      <c r="L80" s="433"/>
      <c r="M80" s="433"/>
      <c r="N80" s="433"/>
      <c r="O80" s="433"/>
      <c r="P80" s="433"/>
      <c r="Q80" s="433"/>
      <c r="R80" s="433"/>
      <c r="S80" s="433"/>
      <c r="T80" s="433"/>
      <c r="U80" s="433"/>
      <c r="V80" s="433"/>
      <c r="W80" s="433"/>
      <c r="X80" s="433"/>
      <c r="Y80" s="433"/>
    </row>
    <row r="81" spans="1:28" hidden="1" x14ac:dyDescent="0.2">
      <c r="A81" s="432"/>
      <c r="B81" s="432"/>
      <c r="C81" s="432"/>
      <c r="D81" s="432"/>
      <c r="E81" s="432"/>
      <c r="F81" s="432"/>
      <c r="G81" s="432"/>
      <c r="H81" s="433"/>
      <c r="I81" s="433"/>
      <c r="J81" s="433"/>
      <c r="K81" s="433"/>
      <c r="L81" s="433"/>
      <c r="M81" s="433"/>
      <c r="N81" s="433"/>
      <c r="O81" s="433"/>
      <c r="P81" s="433"/>
      <c r="Q81" s="433"/>
      <c r="R81" s="433"/>
      <c r="S81" s="433"/>
      <c r="T81" s="433"/>
      <c r="U81" s="433"/>
      <c r="V81" s="433"/>
      <c r="W81" s="433"/>
      <c r="X81" s="433"/>
      <c r="Y81" s="433"/>
    </row>
    <row r="82" spans="1:28" hidden="1" x14ac:dyDescent="0.2"/>
    <row r="84" spans="1:28" ht="15.75" x14ac:dyDescent="0.2">
      <c r="A84" s="688"/>
      <c r="B84" s="689"/>
      <c r="C84" s="689"/>
      <c r="D84" s="689"/>
      <c r="E84" s="689"/>
      <c r="F84" s="689"/>
      <c r="G84" s="689"/>
      <c r="H84" s="689"/>
      <c r="I84" s="689"/>
      <c r="J84" s="689"/>
      <c r="K84" s="290"/>
      <c r="Z84" s="522">
        <v>7.5204469999999999</v>
      </c>
      <c r="AA84" s="523" t="s">
        <v>1022</v>
      </c>
      <c r="AB84" s="524"/>
    </row>
    <row r="85" spans="1:28" customFormat="1" ht="21" customHeight="1" x14ac:dyDescent="0.4">
      <c r="A85" s="690" t="s">
        <v>396</v>
      </c>
      <c r="B85" s="690"/>
      <c r="C85" s="690"/>
      <c r="D85" s="690"/>
      <c r="E85" s="690"/>
      <c r="F85" s="690"/>
      <c r="G85" s="690"/>
      <c r="H85" s="690"/>
      <c r="I85" s="690"/>
      <c r="J85" s="690"/>
      <c r="K85" s="690"/>
      <c r="L85" s="690"/>
      <c r="M85" s="690"/>
      <c r="N85" s="690"/>
      <c r="O85" s="690"/>
      <c r="P85" s="690"/>
      <c r="Q85" s="690"/>
      <c r="R85" s="690"/>
      <c r="S85" s="690"/>
      <c r="T85" s="690"/>
      <c r="U85" s="690"/>
      <c r="V85" s="690"/>
      <c r="W85" s="691"/>
      <c r="X85" s="691"/>
      <c r="Y85" s="691"/>
      <c r="Z85" s="434">
        <v>7.5345000000000004</v>
      </c>
      <c r="AA85" s="403" t="s">
        <v>1023</v>
      </c>
    </row>
    <row r="86" spans="1:28" customFormat="1" ht="15.75" customHeight="1" thickBot="1" x14ac:dyDescent="0.4">
      <c r="A86" s="692" t="s">
        <v>1008</v>
      </c>
      <c r="B86" s="692"/>
      <c r="C86" s="692"/>
      <c r="D86" s="692"/>
      <c r="E86" s="692"/>
      <c r="F86" s="692"/>
      <c r="G86" s="692"/>
      <c r="H86" s="692"/>
      <c r="I86" s="692"/>
      <c r="J86" s="692"/>
      <c r="K86" s="692"/>
      <c r="L86" s="692"/>
      <c r="M86" s="692"/>
      <c r="N86" s="692"/>
      <c r="O86" s="692"/>
      <c r="P86" s="692"/>
      <c r="Q86" s="692"/>
      <c r="R86" s="692"/>
      <c r="S86" s="692"/>
      <c r="T86" s="692"/>
      <c r="U86" s="692"/>
      <c r="V86" s="692"/>
      <c r="W86" s="693"/>
      <c r="X86" s="693"/>
      <c r="Y86" s="693"/>
      <c r="Z86" s="435">
        <v>7.5316239999999999</v>
      </c>
      <c r="AA86" s="403" t="s">
        <v>1024</v>
      </c>
    </row>
    <row r="87" spans="1:28" customFormat="1" ht="18" customHeight="1" thickTop="1" x14ac:dyDescent="0.25">
      <c r="A87" s="694" t="s">
        <v>170</v>
      </c>
      <c r="B87" s="694"/>
      <c r="C87" s="694"/>
      <c r="D87" s="694"/>
      <c r="E87" s="694"/>
      <c r="F87" s="694"/>
      <c r="G87" s="694"/>
      <c r="H87" s="694"/>
      <c r="I87" s="694"/>
      <c r="J87" s="694"/>
      <c r="K87" s="694"/>
      <c r="L87" s="59"/>
      <c r="M87" s="59"/>
      <c r="N87" s="59"/>
      <c r="O87" s="60"/>
      <c r="P87" s="60"/>
      <c r="Q87" s="60"/>
      <c r="R87" s="60"/>
      <c r="S87" s="60"/>
      <c r="T87" s="60"/>
      <c r="U87" s="60"/>
      <c r="V87" s="291"/>
      <c r="Y87" s="424" t="s">
        <v>1005</v>
      </c>
    </row>
    <row r="88" spans="1:28" ht="15.75" customHeight="1" x14ac:dyDescent="0.2">
      <c r="A88" s="695" t="s">
        <v>397</v>
      </c>
      <c r="B88" s="696"/>
      <c r="C88" s="696"/>
      <c r="D88" s="696"/>
      <c r="E88" s="696"/>
      <c r="F88" s="697"/>
      <c r="G88" s="701" t="s">
        <v>791</v>
      </c>
      <c r="H88" s="703" t="s">
        <v>398</v>
      </c>
      <c r="I88" s="704"/>
      <c r="J88" s="704"/>
      <c r="K88" s="704"/>
      <c r="L88" s="704"/>
      <c r="M88" s="704"/>
      <c r="N88" s="704"/>
      <c r="O88" s="704"/>
      <c r="P88" s="704"/>
      <c r="Q88" s="704"/>
      <c r="R88" s="704"/>
      <c r="S88" s="704"/>
      <c r="T88" s="704"/>
      <c r="U88" s="704"/>
      <c r="V88" s="704"/>
      <c r="W88" s="705"/>
      <c r="X88" s="706" t="s">
        <v>399</v>
      </c>
      <c r="Y88" s="706" t="s">
        <v>400</v>
      </c>
    </row>
    <row r="89" spans="1:28" ht="90" x14ac:dyDescent="0.2">
      <c r="A89" s="698"/>
      <c r="B89" s="699"/>
      <c r="C89" s="699"/>
      <c r="D89" s="699"/>
      <c r="E89" s="699"/>
      <c r="F89" s="700"/>
      <c r="G89" s="702"/>
      <c r="H89" s="293" t="s">
        <v>401</v>
      </c>
      <c r="I89" s="293" t="s">
        <v>402</v>
      </c>
      <c r="J89" s="293" t="s">
        <v>403</v>
      </c>
      <c r="K89" s="293" t="s">
        <v>404</v>
      </c>
      <c r="L89" s="293" t="s">
        <v>405</v>
      </c>
      <c r="M89" s="293" t="s">
        <v>406</v>
      </c>
      <c r="N89" s="293" t="s">
        <v>407</v>
      </c>
      <c r="O89" s="293" t="s">
        <v>408</v>
      </c>
      <c r="P89" s="294" t="s">
        <v>792</v>
      </c>
      <c r="Q89" s="293" t="s">
        <v>409</v>
      </c>
      <c r="R89" s="293" t="s">
        <v>410</v>
      </c>
      <c r="S89" s="294" t="s">
        <v>793</v>
      </c>
      <c r="T89" s="294" t="s">
        <v>794</v>
      </c>
      <c r="U89" s="293" t="s">
        <v>411</v>
      </c>
      <c r="V89" s="293" t="s">
        <v>412</v>
      </c>
      <c r="W89" s="293" t="s">
        <v>413</v>
      </c>
      <c r="X89" s="707"/>
      <c r="Y89" s="707"/>
    </row>
    <row r="90" spans="1:28" ht="22.5" x14ac:dyDescent="0.2">
      <c r="A90" s="708" t="s">
        <v>178</v>
      </c>
      <c r="B90" s="708"/>
      <c r="C90" s="708"/>
      <c r="D90" s="708"/>
      <c r="E90" s="708"/>
      <c r="F90" s="708"/>
      <c r="G90" s="295">
        <v>2</v>
      </c>
      <c r="H90" s="293" t="s">
        <v>180</v>
      </c>
      <c r="I90" s="296" t="s">
        <v>181</v>
      </c>
      <c r="J90" s="293" t="s">
        <v>182</v>
      </c>
      <c r="K90" s="296" t="s">
        <v>183</v>
      </c>
      <c r="L90" s="293" t="s">
        <v>184</v>
      </c>
      <c r="M90" s="296" t="s">
        <v>185</v>
      </c>
      <c r="N90" s="293" t="s">
        <v>186</v>
      </c>
      <c r="O90" s="296" t="s">
        <v>187</v>
      </c>
      <c r="P90" s="293" t="s">
        <v>188</v>
      </c>
      <c r="Q90" s="296" t="s">
        <v>189</v>
      </c>
      <c r="R90" s="293" t="s">
        <v>190</v>
      </c>
      <c r="S90" s="293" t="s">
        <v>191</v>
      </c>
      <c r="T90" s="293" t="s">
        <v>192</v>
      </c>
      <c r="U90" s="293" t="s">
        <v>769</v>
      </c>
      <c r="V90" s="293" t="s">
        <v>414</v>
      </c>
      <c r="W90" s="293" t="s">
        <v>795</v>
      </c>
      <c r="X90" s="293">
        <v>19</v>
      </c>
      <c r="Y90" s="296" t="s">
        <v>796</v>
      </c>
    </row>
    <row r="91" spans="1:28" x14ac:dyDescent="0.2">
      <c r="A91" s="709" t="s">
        <v>415</v>
      </c>
      <c r="B91" s="709"/>
      <c r="C91" s="709"/>
      <c r="D91" s="709"/>
      <c r="E91" s="709"/>
      <c r="F91" s="709"/>
      <c r="G91" s="709"/>
      <c r="H91" s="709"/>
      <c r="I91" s="709"/>
      <c r="J91" s="709"/>
      <c r="K91" s="709"/>
      <c r="L91" s="709"/>
      <c r="M91" s="709"/>
      <c r="N91" s="710"/>
      <c r="O91" s="710"/>
      <c r="P91" s="710"/>
      <c r="Q91" s="710"/>
      <c r="R91" s="710"/>
      <c r="S91" s="710"/>
      <c r="T91" s="710"/>
      <c r="U91" s="710"/>
      <c r="V91" s="710"/>
      <c r="W91" s="710"/>
      <c r="X91" s="710"/>
      <c r="Y91" s="711"/>
    </row>
    <row r="92" spans="1:28" x14ac:dyDescent="0.2">
      <c r="A92" s="712" t="s">
        <v>797</v>
      </c>
      <c r="B92" s="712"/>
      <c r="C92" s="712"/>
      <c r="D92" s="712"/>
      <c r="E92" s="712"/>
      <c r="F92" s="712"/>
      <c r="G92" s="297"/>
      <c r="H92" s="436">
        <f>+ROUND((H44/Z84),2)</f>
        <v>2631779626.9299998</v>
      </c>
      <c r="I92" s="436"/>
      <c r="J92" s="436">
        <f>+ROUND((J44/Z84),2)</f>
        <v>73025140.659999996</v>
      </c>
      <c r="K92" s="436"/>
      <c r="L92" s="436"/>
      <c r="M92" s="436"/>
      <c r="N92" s="436">
        <f>+ROUND((N44/Z84),2)</f>
        <v>8501708.6099999994</v>
      </c>
      <c r="O92" s="436"/>
      <c r="P92" s="436">
        <f>+ROUND((P44/Z84),2)</f>
        <v>14600039.6</v>
      </c>
      <c r="Q92" s="436"/>
      <c r="R92" s="436"/>
      <c r="S92" s="436"/>
      <c r="T92" s="440"/>
      <c r="U92" s="436">
        <f>+ROUND((U44/Z84),2)</f>
        <v>739415933.51999998</v>
      </c>
      <c r="V92" s="436"/>
      <c r="W92" s="437">
        <f>H92+I92+J92+K92-L92+M92+N92+O92+P92+Q92+R92+U92+V92+S92+T92</f>
        <v>3467322449.3199997</v>
      </c>
      <c r="X92" s="436"/>
      <c r="Y92" s="437">
        <f>W92+X92</f>
        <v>3467322449.3199997</v>
      </c>
      <c r="Z92" s="450">
        <f>Y44/Z85</f>
        <v>3460855360.2760634</v>
      </c>
    </row>
    <row r="93" spans="1:28" x14ac:dyDescent="0.2">
      <c r="A93" s="713" t="s">
        <v>416</v>
      </c>
      <c r="B93" s="713"/>
      <c r="C93" s="713"/>
      <c r="D93" s="713"/>
      <c r="E93" s="713"/>
      <c r="F93" s="713"/>
      <c r="G93" s="297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36"/>
      <c r="T93" s="436"/>
      <c r="U93" s="436"/>
      <c r="V93" s="436"/>
      <c r="W93" s="437">
        <f>H93+I93+J93+K93-L93+M93+N93+O93+P93+Q93+R93+U93+V93+S93+T93</f>
        <v>0</v>
      </c>
      <c r="X93" s="436"/>
      <c r="Y93" s="437">
        <f>W93+X93</f>
        <v>0</v>
      </c>
    </row>
    <row r="94" spans="1:28" x14ac:dyDescent="0.2">
      <c r="A94" s="713" t="s">
        <v>417</v>
      </c>
      <c r="B94" s="713"/>
      <c r="C94" s="713"/>
      <c r="D94" s="713"/>
      <c r="E94" s="713"/>
      <c r="F94" s="713"/>
      <c r="G94" s="297"/>
      <c r="H94" s="436"/>
      <c r="I94" s="436"/>
      <c r="J94" s="436"/>
      <c r="K94" s="436"/>
      <c r="L94" s="436"/>
      <c r="M94" s="436"/>
      <c r="N94" s="436"/>
      <c r="O94" s="436"/>
      <c r="P94" s="436"/>
      <c r="Q94" s="436"/>
      <c r="R94" s="436"/>
      <c r="S94" s="436"/>
      <c r="T94" s="440"/>
      <c r="U94" s="436"/>
      <c r="V94" s="436"/>
      <c r="W94" s="437">
        <f>H94+I94+J94+K94-L94+M94+N94+O94+P94+Q94+R94+U94+V94+S94+T94</f>
        <v>0</v>
      </c>
      <c r="X94" s="436"/>
      <c r="Y94" s="437">
        <f>W94+X94</f>
        <v>0</v>
      </c>
    </row>
    <row r="95" spans="1:28" ht="22.5" customHeight="1" x14ac:dyDescent="0.2">
      <c r="A95" s="687" t="s">
        <v>1094</v>
      </c>
      <c r="B95" s="687"/>
      <c r="C95" s="687"/>
      <c r="D95" s="687"/>
      <c r="E95" s="687"/>
      <c r="F95" s="687"/>
      <c r="G95" s="300"/>
      <c r="H95" s="438">
        <f>H92+H93+H94</f>
        <v>2631779626.9299998</v>
      </c>
      <c r="I95" s="438">
        <f t="shared" ref="I95:Y95" si="14">I92+I93+I94</f>
        <v>0</v>
      </c>
      <c r="J95" s="438">
        <f t="shared" si="14"/>
        <v>73025140.659999996</v>
      </c>
      <c r="K95" s="438">
        <f t="shared" si="14"/>
        <v>0</v>
      </c>
      <c r="L95" s="438">
        <f t="shared" si="14"/>
        <v>0</v>
      </c>
      <c r="M95" s="438">
        <f t="shared" si="14"/>
        <v>0</v>
      </c>
      <c r="N95" s="438">
        <f t="shared" si="14"/>
        <v>8501708.6099999994</v>
      </c>
      <c r="O95" s="438">
        <f t="shared" si="14"/>
        <v>0</v>
      </c>
      <c r="P95" s="438">
        <f t="shared" si="14"/>
        <v>14600039.6</v>
      </c>
      <c r="Q95" s="438">
        <f>Q92+Q93+Q94</f>
        <v>0</v>
      </c>
      <c r="R95" s="438">
        <f t="shared" si="14"/>
        <v>0</v>
      </c>
      <c r="S95" s="438">
        <f t="shared" si="14"/>
        <v>0</v>
      </c>
      <c r="T95" s="438">
        <f>T92+T93+T94</f>
        <v>0</v>
      </c>
      <c r="U95" s="438">
        <f t="shared" si="14"/>
        <v>739415933.51999998</v>
      </c>
      <c r="V95" s="438">
        <f t="shared" si="14"/>
        <v>0</v>
      </c>
      <c r="W95" s="438">
        <f t="shared" si="14"/>
        <v>3467322449.3199997</v>
      </c>
      <c r="X95" s="438">
        <f t="shared" si="14"/>
        <v>0</v>
      </c>
      <c r="Y95" s="438">
        <f t="shared" si="14"/>
        <v>3467322449.3199997</v>
      </c>
    </row>
    <row r="96" spans="1:28" x14ac:dyDescent="0.2">
      <c r="A96" s="713" t="s">
        <v>418</v>
      </c>
      <c r="B96" s="713"/>
      <c r="C96" s="713"/>
      <c r="D96" s="713"/>
      <c r="E96" s="713"/>
      <c r="F96" s="713"/>
      <c r="G96" s="297"/>
      <c r="H96" s="439">
        <v>0</v>
      </c>
      <c r="I96" s="439">
        <v>0</v>
      </c>
      <c r="J96" s="439">
        <v>0</v>
      </c>
      <c r="K96" s="439">
        <v>0</v>
      </c>
      <c r="L96" s="439">
        <v>0</v>
      </c>
      <c r="M96" s="439">
        <v>0</v>
      </c>
      <c r="N96" s="439">
        <v>0</v>
      </c>
      <c r="O96" s="439">
        <v>0</v>
      </c>
      <c r="P96" s="439">
        <v>0</v>
      </c>
      <c r="Q96" s="439">
        <v>0</v>
      </c>
      <c r="R96" s="439">
        <v>0</v>
      </c>
      <c r="S96" s="436"/>
      <c r="T96" s="436"/>
      <c r="U96" s="439">
        <v>0</v>
      </c>
      <c r="V96" s="436">
        <f>+ROUND((V48/Z86),2)-76322154+13737987.72</f>
        <v>-683714126.69999993</v>
      </c>
      <c r="W96" s="437">
        <f t="shared" ref="W96:W114" si="15">H96+I96+J96+K96-L96+M96+N96+O96+P96+Q96+R96+U96+V96+S96+T96</f>
        <v>-683714126.69999993</v>
      </c>
      <c r="X96" s="436"/>
      <c r="Y96" s="437">
        <f t="shared" ref="Y96:Y114" si="16">W96+X96</f>
        <v>-683714126.69999993</v>
      </c>
    </row>
    <row r="97" spans="1:25" x14ac:dyDescent="0.2">
      <c r="A97" s="713" t="s">
        <v>419</v>
      </c>
      <c r="B97" s="713"/>
      <c r="C97" s="713"/>
      <c r="D97" s="713"/>
      <c r="E97" s="713"/>
      <c r="F97" s="713"/>
      <c r="G97" s="297"/>
      <c r="H97" s="439">
        <v>0</v>
      </c>
      <c r="I97" s="439">
        <v>0</v>
      </c>
      <c r="J97" s="439">
        <v>0</v>
      </c>
      <c r="K97" s="439">
        <v>0</v>
      </c>
      <c r="L97" s="439">
        <v>0</v>
      </c>
      <c r="M97" s="439">
        <v>0</v>
      </c>
      <c r="N97" s="436"/>
      <c r="O97" s="439">
        <v>0</v>
      </c>
      <c r="P97" s="439">
        <v>0</v>
      </c>
      <c r="Q97" s="439">
        <v>0</v>
      </c>
      <c r="R97" s="439">
        <v>0</v>
      </c>
      <c r="S97" s="436"/>
      <c r="T97" s="436"/>
      <c r="U97" s="439">
        <v>0</v>
      </c>
      <c r="V97" s="439">
        <v>0</v>
      </c>
      <c r="W97" s="437">
        <f>H97+I97+J97+K97-L97+M97+N97+O97+P97+Q97+R97+U97+V97+S97+T97</f>
        <v>0</v>
      </c>
      <c r="X97" s="436"/>
      <c r="Y97" s="437">
        <f t="shared" si="16"/>
        <v>0</v>
      </c>
    </row>
    <row r="98" spans="1:25" ht="26.25" customHeight="1" x14ac:dyDescent="0.2">
      <c r="A98" s="713" t="s">
        <v>420</v>
      </c>
      <c r="B98" s="713"/>
      <c r="C98" s="713"/>
      <c r="D98" s="713"/>
      <c r="E98" s="713"/>
      <c r="F98" s="713"/>
      <c r="G98" s="297"/>
      <c r="H98" s="439">
        <v>0</v>
      </c>
      <c r="I98" s="439">
        <v>0</v>
      </c>
      <c r="J98" s="439">
        <v>0</v>
      </c>
      <c r="K98" s="439">
        <v>0</v>
      </c>
      <c r="L98" s="439">
        <v>0</v>
      </c>
      <c r="M98" s="439">
        <v>0</v>
      </c>
      <c r="N98" s="439">
        <v>0</v>
      </c>
      <c r="O98" s="436"/>
      <c r="P98" s="439">
        <v>0</v>
      </c>
      <c r="Q98" s="439">
        <v>0</v>
      </c>
      <c r="R98" s="439">
        <v>0</v>
      </c>
      <c r="S98" s="436"/>
      <c r="T98" s="436"/>
      <c r="U98" s="436"/>
      <c r="V98" s="436"/>
      <c r="W98" s="437">
        <f t="shared" si="15"/>
        <v>0</v>
      </c>
      <c r="X98" s="436"/>
      <c r="Y98" s="437">
        <f t="shared" si="16"/>
        <v>0</v>
      </c>
    </row>
    <row r="99" spans="1:25" ht="33.75" customHeight="1" x14ac:dyDescent="0.2">
      <c r="A99" s="713" t="s">
        <v>799</v>
      </c>
      <c r="B99" s="713"/>
      <c r="C99" s="713"/>
      <c r="D99" s="713"/>
      <c r="E99" s="713"/>
      <c r="F99" s="713"/>
      <c r="G99" s="297"/>
      <c r="H99" s="439">
        <v>0</v>
      </c>
      <c r="I99" s="439">
        <v>0</v>
      </c>
      <c r="J99" s="439">
        <v>0</v>
      </c>
      <c r="K99" s="439">
        <v>0</v>
      </c>
      <c r="L99" s="439">
        <v>0</v>
      </c>
      <c r="M99" s="439">
        <v>0</v>
      </c>
      <c r="N99" s="439">
        <v>0</v>
      </c>
      <c r="O99" s="439">
        <v>0</v>
      </c>
      <c r="P99" s="436">
        <f>+ROUND((P51/Z85),2)</f>
        <v>4855785.5199999996</v>
      </c>
      <c r="Q99" s="439">
        <v>0</v>
      </c>
      <c r="R99" s="439">
        <v>0</v>
      </c>
      <c r="S99" s="436"/>
      <c r="T99" s="436"/>
      <c r="U99" s="436"/>
      <c r="V99" s="436"/>
      <c r="W99" s="437">
        <f t="shared" si="15"/>
        <v>4855785.5199999996</v>
      </c>
      <c r="X99" s="436"/>
      <c r="Y99" s="437">
        <f t="shared" si="16"/>
        <v>4855785.5199999996</v>
      </c>
    </row>
    <row r="100" spans="1:25" x14ac:dyDescent="0.2">
      <c r="A100" s="713" t="s">
        <v>421</v>
      </c>
      <c r="B100" s="713"/>
      <c r="C100" s="713"/>
      <c r="D100" s="713"/>
      <c r="E100" s="713"/>
      <c r="F100" s="713"/>
      <c r="G100" s="297"/>
      <c r="H100" s="439">
        <v>0</v>
      </c>
      <c r="I100" s="439">
        <v>0</v>
      </c>
      <c r="J100" s="439">
        <v>0</v>
      </c>
      <c r="K100" s="439">
        <v>0</v>
      </c>
      <c r="L100" s="439">
        <v>0</v>
      </c>
      <c r="M100" s="439">
        <v>0</v>
      </c>
      <c r="N100" s="439">
        <v>0</v>
      </c>
      <c r="O100" s="439">
        <v>0</v>
      </c>
      <c r="P100" s="439">
        <v>0</v>
      </c>
      <c r="Q100" s="436"/>
      <c r="R100" s="439">
        <v>0</v>
      </c>
      <c r="S100" s="436"/>
      <c r="T100" s="436"/>
      <c r="U100" s="436"/>
      <c r="V100" s="436"/>
      <c r="W100" s="437">
        <f t="shared" si="15"/>
        <v>0</v>
      </c>
      <c r="X100" s="436"/>
      <c r="Y100" s="437">
        <f t="shared" si="16"/>
        <v>0</v>
      </c>
    </row>
    <row r="101" spans="1:25" ht="28.5" customHeight="1" x14ac:dyDescent="0.2">
      <c r="A101" s="713" t="s">
        <v>422</v>
      </c>
      <c r="B101" s="713"/>
      <c r="C101" s="713"/>
      <c r="D101" s="713"/>
      <c r="E101" s="713"/>
      <c r="F101" s="713"/>
      <c r="G101" s="297"/>
      <c r="H101" s="439">
        <v>0</v>
      </c>
      <c r="I101" s="439">
        <v>0</v>
      </c>
      <c r="J101" s="439">
        <v>0</v>
      </c>
      <c r="K101" s="439">
        <v>0</v>
      </c>
      <c r="L101" s="439">
        <v>0</v>
      </c>
      <c r="M101" s="439">
        <v>0</v>
      </c>
      <c r="N101" s="439">
        <v>0</v>
      </c>
      <c r="O101" s="439">
        <v>0</v>
      </c>
      <c r="P101" s="439">
        <v>0</v>
      </c>
      <c r="Q101" s="439">
        <v>0</v>
      </c>
      <c r="R101" s="436"/>
      <c r="S101" s="436"/>
      <c r="T101" s="436"/>
      <c r="U101" s="436"/>
      <c r="V101" s="436"/>
      <c r="W101" s="437">
        <f t="shared" si="15"/>
        <v>0</v>
      </c>
      <c r="X101" s="436"/>
      <c r="Y101" s="437">
        <f t="shared" si="16"/>
        <v>0</v>
      </c>
    </row>
    <row r="102" spans="1:25" ht="23.25" customHeight="1" x14ac:dyDescent="0.2">
      <c r="A102" s="713" t="s">
        <v>423</v>
      </c>
      <c r="B102" s="713"/>
      <c r="C102" s="713"/>
      <c r="D102" s="713"/>
      <c r="E102" s="713"/>
      <c r="F102" s="713"/>
      <c r="G102" s="297"/>
      <c r="H102" s="439">
        <v>0</v>
      </c>
      <c r="I102" s="439">
        <v>0</v>
      </c>
      <c r="J102" s="439">
        <v>0</v>
      </c>
      <c r="K102" s="439">
        <v>0</v>
      </c>
      <c r="L102" s="439">
        <v>0</v>
      </c>
      <c r="M102" s="439">
        <v>0</v>
      </c>
      <c r="N102" s="436"/>
      <c r="O102" s="436"/>
      <c r="P102" s="436"/>
      <c r="Q102" s="436"/>
      <c r="R102" s="436"/>
      <c r="S102" s="436"/>
      <c r="T102" s="436"/>
      <c r="U102" s="436"/>
      <c r="V102" s="436"/>
      <c r="W102" s="437">
        <f t="shared" si="15"/>
        <v>0</v>
      </c>
      <c r="X102" s="436"/>
      <c r="Y102" s="437">
        <f t="shared" si="16"/>
        <v>0</v>
      </c>
    </row>
    <row r="103" spans="1:25" x14ac:dyDescent="0.2">
      <c r="A103" s="713" t="s">
        <v>424</v>
      </c>
      <c r="B103" s="713"/>
      <c r="C103" s="713"/>
      <c r="D103" s="713"/>
      <c r="E103" s="713"/>
      <c r="F103" s="713"/>
      <c r="G103" s="297"/>
      <c r="H103" s="439">
        <v>0</v>
      </c>
      <c r="I103" s="439">
        <v>0</v>
      </c>
      <c r="J103" s="439">
        <v>0</v>
      </c>
      <c r="K103" s="439">
        <v>0</v>
      </c>
      <c r="L103" s="439">
        <v>0</v>
      </c>
      <c r="M103" s="439">
        <v>0</v>
      </c>
      <c r="N103" s="436"/>
      <c r="O103" s="436"/>
      <c r="P103" s="436"/>
      <c r="Q103" s="436"/>
      <c r="R103" s="436"/>
      <c r="S103" s="436"/>
      <c r="T103" s="436"/>
      <c r="U103" s="436"/>
      <c r="V103" s="436"/>
      <c r="W103" s="437">
        <f>H103+I103+J103+K103-L103+M103+N103+O103+P103+Q103+R103+U103+V103+S103+T103</f>
        <v>0</v>
      </c>
      <c r="X103" s="436"/>
      <c r="Y103" s="437">
        <f t="shared" si="16"/>
        <v>0</v>
      </c>
    </row>
    <row r="104" spans="1:25" x14ac:dyDescent="0.2">
      <c r="A104" s="713" t="s">
        <v>425</v>
      </c>
      <c r="B104" s="713"/>
      <c r="C104" s="713"/>
      <c r="D104" s="713"/>
      <c r="E104" s="713"/>
      <c r="F104" s="713"/>
      <c r="G104" s="297"/>
      <c r="H104" s="436">
        <v>-4908673.32</v>
      </c>
      <c r="I104" s="436"/>
      <c r="J104" s="436">
        <v>-136203.10999999999</v>
      </c>
      <c r="K104" s="436"/>
      <c r="L104" s="436"/>
      <c r="M104" s="436"/>
      <c r="N104" s="436">
        <v>-15856.99</v>
      </c>
      <c r="O104" s="436"/>
      <c r="P104" s="436">
        <v>-27231.32</v>
      </c>
      <c r="Q104" s="436"/>
      <c r="R104" s="436"/>
      <c r="S104" s="436">
        <v>237092.01</v>
      </c>
      <c r="T104" s="436"/>
      <c r="U104" s="436">
        <v>-1379124.31</v>
      </c>
      <c r="V104" s="436"/>
      <c r="W104" s="437">
        <f>H104+I104+J104+K104-L104+M104+N104+O104+P104+Q104+R104+U104+V104+S104+T104</f>
        <v>-6229997.040000001</v>
      </c>
      <c r="X104" s="436"/>
      <c r="Y104" s="437">
        <f t="shared" si="16"/>
        <v>-6229997.040000001</v>
      </c>
    </row>
    <row r="105" spans="1:25" x14ac:dyDescent="0.2">
      <c r="A105" s="713" t="s">
        <v>426</v>
      </c>
      <c r="B105" s="713"/>
      <c r="C105" s="713"/>
      <c r="D105" s="713"/>
      <c r="E105" s="713"/>
      <c r="F105" s="713"/>
      <c r="G105" s="297"/>
      <c r="H105" s="439">
        <v>0</v>
      </c>
      <c r="I105" s="439">
        <v>0</v>
      </c>
      <c r="J105" s="439">
        <v>0</v>
      </c>
      <c r="K105" s="439">
        <v>0</v>
      </c>
      <c r="L105" s="439">
        <v>0</v>
      </c>
      <c r="M105" s="439">
        <v>0</v>
      </c>
      <c r="N105" s="436"/>
      <c r="O105" s="436"/>
      <c r="P105" s="436"/>
      <c r="Q105" s="436"/>
      <c r="R105" s="436"/>
      <c r="S105" s="436"/>
      <c r="T105" s="436"/>
      <c r="U105" s="436"/>
      <c r="V105" s="436"/>
      <c r="W105" s="437">
        <f t="shared" si="15"/>
        <v>0</v>
      </c>
      <c r="X105" s="436"/>
      <c r="Y105" s="437">
        <f t="shared" si="16"/>
        <v>0</v>
      </c>
    </row>
    <row r="106" spans="1:25" ht="30.75" customHeight="1" x14ac:dyDescent="0.2">
      <c r="A106" s="713" t="s">
        <v>800</v>
      </c>
      <c r="B106" s="713"/>
      <c r="C106" s="713"/>
      <c r="D106" s="713"/>
      <c r="E106" s="713"/>
      <c r="F106" s="713"/>
      <c r="G106" s="297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7">
        <f t="shared" si="15"/>
        <v>0</v>
      </c>
      <c r="X106" s="436"/>
      <c r="Y106" s="437">
        <f t="shared" si="16"/>
        <v>0</v>
      </c>
    </row>
    <row r="107" spans="1:25" ht="28.5" customHeight="1" x14ac:dyDescent="0.2">
      <c r="A107" s="713" t="s">
        <v>801</v>
      </c>
      <c r="B107" s="713"/>
      <c r="C107" s="713"/>
      <c r="D107" s="713"/>
      <c r="E107" s="713"/>
      <c r="F107" s="713"/>
      <c r="G107" s="297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7">
        <f t="shared" si="15"/>
        <v>0</v>
      </c>
      <c r="X107" s="436"/>
      <c r="Y107" s="437">
        <f t="shared" si="16"/>
        <v>0</v>
      </c>
    </row>
    <row r="108" spans="1:25" ht="26.25" customHeight="1" x14ac:dyDescent="0.2">
      <c r="A108" s="713" t="s">
        <v>802</v>
      </c>
      <c r="B108" s="713"/>
      <c r="C108" s="713"/>
      <c r="D108" s="713"/>
      <c r="E108" s="713"/>
      <c r="F108" s="713"/>
      <c r="G108" s="297"/>
      <c r="H108" s="436"/>
      <c r="I108" s="436"/>
      <c r="J108" s="436"/>
      <c r="K108" s="436"/>
      <c r="L108" s="436"/>
      <c r="M108" s="436"/>
      <c r="N108" s="436"/>
      <c r="O108" s="436"/>
      <c r="P108" s="436"/>
      <c r="Q108" s="436"/>
      <c r="R108" s="436"/>
      <c r="S108" s="436"/>
      <c r="T108" s="436"/>
      <c r="U108" s="436"/>
      <c r="V108" s="436"/>
      <c r="W108" s="437">
        <f t="shared" si="15"/>
        <v>0</v>
      </c>
      <c r="X108" s="436"/>
      <c r="Y108" s="437">
        <f t="shared" si="16"/>
        <v>0</v>
      </c>
    </row>
    <row r="109" spans="1:25" x14ac:dyDescent="0.2">
      <c r="A109" s="713" t="s">
        <v>427</v>
      </c>
      <c r="B109" s="713"/>
      <c r="C109" s="713"/>
      <c r="D109" s="713"/>
      <c r="E109" s="713"/>
      <c r="F109" s="713"/>
      <c r="G109" s="297"/>
      <c r="H109" s="436"/>
      <c r="I109" s="436"/>
      <c r="J109" s="436"/>
      <c r="K109" s="436"/>
      <c r="L109" s="436"/>
      <c r="M109" s="436"/>
      <c r="N109" s="436"/>
      <c r="O109" s="436"/>
      <c r="P109" s="436"/>
      <c r="Q109" s="436"/>
      <c r="R109" s="436"/>
      <c r="S109" s="436"/>
      <c r="T109" s="436"/>
      <c r="U109" s="436"/>
      <c r="V109" s="436"/>
      <c r="W109" s="437">
        <f t="shared" si="15"/>
        <v>0</v>
      </c>
      <c r="X109" s="436"/>
      <c r="Y109" s="437">
        <f t="shared" si="16"/>
        <v>0</v>
      </c>
    </row>
    <row r="110" spans="1:25" x14ac:dyDescent="0.2">
      <c r="A110" s="713" t="s">
        <v>803</v>
      </c>
      <c r="B110" s="713"/>
      <c r="C110" s="713"/>
      <c r="D110" s="713"/>
      <c r="E110" s="713"/>
      <c r="F110" s="713"/>
      <c r="G110" s="297"/>
      <c r="H110" s="436"/>
      <c r="I110" s="436"/>
      <c r="J110" s="436"/>
      <c r="K110" s="436"/>
      <c r="L110" s="436"/>
      <c r="M110" s="436"/>
      <c r="N110" s="436"/>
      <c r="O110" s="436"/>
      <c r="P110" s="436"/>
      <c r="Q110" s="436"/>
      <c r="R110" s="436"/>
      <c r="S110" s="436"/>
      <c r="T110" s="436"/>
      <c r="U110" s="436"/>
      <c r="V110" s="436"/>
      <c r="W110" s="437">
        <f t="shared" si="15"/>
        <v>0</v>
      </c>
      <c r="X110" s="436"/>
      <c r="Y110" s="437">
        <f t="shared" si="16"/>
        <v>0</v>
      </c>
    </row>
    <row r="111" spans="1:25" ht="12.75" customHeight="1" x14ac:dyDescent="0.2">
      <c r="A111" s="713" t="s">
        <v>804</v>
      </c>
      <c r="B111" s="713"/>
      <c r="C111" s="713"/>
      <c r="D111" s="713"/>
      <c r="E111" s="713"/>
      <c r="F111" s="713"/>
      <c r="G111" s="297"/>
      <c r="H111" s="436"/>
      <c r="I111" s="436"/>
      <c r="J111" s="436"/>
      <c r="K111" s="436"/>
      <c r="L111" s="436"/>
      <c r="M111" s="436"/>
      <c r="N111" s="436"/>
      <c r="O111" s="436"/>
      <c r="P111" s="436"/>
      <c r="Q111" s="436"/>
      <c r="R111" s="436"/>
      <c r="S111" s="436"/>
      <c r="T111" s="436"/>
      <c r="U111" s="436"/>
      <c r="V111" s="436"/>
      <c r="W111" s="437">
        <f t="shared" si="15"/>
        <v>0</v>
      </c>
      <c r="X111" s="436"/>
      <c r="Y111" s="437">
        <f t="shared" si="16"/>
        <v>0</v>
      </c>
    </row>
    <row r="112" spans="1:25" ht="12.75" customHeight="1" x14ac:dyDescent="0.2">
      <c r="A112" s="713" t="s">
        <v>805</v>
      </c>
      <c r="B112" s="713"/>
      <c r="C112" s="713"/>
      <c r="D112" s="713"/>
      <c r="E112" s="713"/>
      <c r="F112" s="713"/>
      <c r="G112" s="297"/>
      <c r="H112" s="436"/>
      <c r="I112" s="436"/>
      <c r="J112" s="436"/>
      <c r="K112" s="436"/>
      <c r="L112" s="436"/>
      <c r="M112" s="436"/>
      <c r="N112" s="436"/>
      <c r="O112" s="436"/>
      <c r="P112" s="436"/>
      <c r="Q112" s="436"/>
      <c r="R112" s="436"/>
      <c r="S112" s="436"/>
      <c r="T112" s="436"/>
      <c r="U112" s="436"/>
      <c r="V112" s="436"/>
      <c r="W112" s="437">
        <f t="shared" si="15"/>
        <v>0</v>
      </c>
      <c r="X112" s="436"/>
      <c r="Y112" s="437">
        <f t="shared" si="16"/>
        <v>0</v>
      </c>
    </row>
    <row r="113" spans="1:28" ht="12.75" customHeight="1" x14ac:dyDescent="0.2">
      <c r="A113" s="713" t="s">
        <v>806</v>
      </c>
      <c r="B113" s="713"/>
      <c r="C113" s="713"/>
      <c r="D113" s="713"/>
      <c r="E113" s="713"/>
      <c r="F113" s="713"/>
      <c r="G113" s="297"/>
      <c r="H113" s="436"/>
      <c r="I113" s="436"/>
      <c r="J113" s="441">
        <f>+ROUND((J65/Z85),2)+0.01</f>
        <v>7034767.8099999996</v>
      </c>
      <c r="K113" s="436"/>
      <c r="L113" s="436"/>
      <c r="M113" s="436"/>
      <c r="N113" s="436"/>
      <c r="O113" s="436"/>
      <c r="P113" s="436"/>
      <c r="Q113" s="436"/>
      <c r="R113" s="436"/>
      <c r="S113" s="436"/>
      <c r="T113" s="436"/>
      <c r="U113" s="436">
        <f>+ROUND((U65/Z85),2)</f>
        <v>133660588.63</v>
      </c>
      <c r="V113" s="436"/>
      <c r="W113" s="437">
        <f t="shared" si="15"/>
        <v>140695356.44</v>
      </c>
      <c r="X113" s="436"/>
      <c r="Y113" s="437">
        <f t="shared" si="16"/>
        <v>140695356.44</v>
      </c>
    </row>
    <row r="114" spans="1:28" ht="12.75" customHeight="1" x14ac:dyDescent="0.2">
      <c r="A114" s="713" t="s">
        <v>807</v>
      </c>
      <c r="B114" s="713"/>
      <c r="C114" s="713"/>
      <c r="D114" s="713"/>
      <c r="E114" s="713"/>
      <c r="F114" s="713"/>
      <c r="G114" s="297"/>
      <c r="H114" s="436"/>
      <c r="I114" s="436"/>
      <c r="J114" s="436"/>
      <c r="K114" s="436"/>
      <c r="L114" s="436"/>
      <c r="M114" s="436"/>
      <c r="N114" s="436"/>
      <c r="O114" s="436"/>
      <c r="P114" s="436"/>
      <c r="Q114" s="436"/>
      <c r="R114" s="436"/>
      <c r="S114" s="436"/>
      <c r="T114" s="436"/>
      <c r="U114" s="436"/>
      <c r="V114" s="436"/>
      <c r="W114" s="437">
        <f t="shared" si="15"/>
        <v>0</v>
      </c>
      <c r="X114" s="436"/>
      <c r="Y114" s="437">
        <f t="shared" si="16"/>
        <v>0</v>
      </c>
    </row>
    <row r="115" spans="1:28" ht="27.75" customHeight="1" x14ac:dyDescent="0.2">
      <c r="A115" s="687" t="s">
        <v>1095</v>
      </c>
      <c r="B115" s="687"/>
      <c r="C115" s="687"/>
      <c r="D115" s="687"/>
      <c r="E115" s="687"/>
      <c r="F115" s="687"/>
      <c r="G115" s="300"/>
      <c r="H115" s="438">
        <f>SUM(H95:H114)</f>
        <v>2626870953.6099997</v>
      </c>
      <c r="I115" s="438">
        <f t="shared" ref="I115:Y115" si="17">SUM(I95:I114)</f>
        <v>0</v>
      </c>
      <c r="J115" s="438">
        <f t="shared" si="17"/>
        <v>79923705.359999999</v>
      </c>
      <c r="K115" s="438">
        <f t="shared" si="17"/>
        <v>0</v>
      </c>
      <c r="L115" s="438">
        <f t="shared" si="17"/>
        <v>0</v>
      </c>
      <c r="M115" s="438">
        <f t="shared" si="17"/>
        <v>0</v>
      </c>
      <c r="N115" s="438">
        <f t="shared" si="17"/>
        <v>8485851.6199999992</v>
      </c>
      <c r="O115" s="438">
        <f t="shared" si="17"/>
        <v>0</v>
      </c>
      <c r="P115" s="438">
        <f t="shared" si="17"/>
        <v>19428593.799999997</v>
      </c>
      <c r="Q115" s="438">
        <f t="shared" si="17"/>
        <v>0</v>
      </c>
      <c r="R115" s="438">
        <f t="shared" si="17"/>
        <v>0</v>
      </c>
      <c r="S115" s="438">
        <f t="shared" si="17"/>
        <v>237092.01</v>
      </c>
      <c r="T115" s="438">
        <f t="shared" si="17"/>
        <v>0</v>
      </c>
      <c r="U115" s="438">
        <f t="shared" si="17"/>
        <v>871697397.84000003</v>
      </c>
      <c r="V115" s="438">
        <f t="shared" si="17"/>
        <v>-683714126.69999993</v>
      </c>
      <c r="W115" s="438">
        <f t="shared" si="17"/>
        <v>2922929467.54</v>
      </c>
      <c r="X115" s="438">
        <f t="shared" si="17"/>
        <v>0</v>
      </c>
      <c r="Y115" s="438">
        <f t="shared" si="17"/>
        <v>2922929467.54</v>
      </c>
      <c r="Z115" s="525">
        <f>Y67/Z85</f>
        <v>2985513633.8177714</v>
      </c>
    </row>
    <row r="116" spans="1:28" x14ac:dyDescent="0.2">
      <c r="A116" s="709" t="s">
        <v>428</v>
      </c>
      <c r="B116" s="711"/>
      <c r="C116" s="711"/>
      <c r="D116" s="711"/>
      <c r="E116" s="711"/>
      <c r="F116" s="711"/>
      <c r="G116" s="711"/>
      <c r="H116" s="711"/>
      <c r="I116" s="711"/>
      <c r="J116" s="711"/>
      <c r="K116" s="711"/>
      <c r="L116" s="711"/>
      <c r="M116" s="711"/>
      <c r="N116" s="711"/>
      <c r="O116" s="711"/>
      <c r="P116" s="711"/>
      <c r="Q116" s="711"/>
      <c r="R116" s="711"/>
      <c r="S116" s="711"/>
      <c r="T116" s="711"/>
      <c r="U116" s="711"/>
      <c r="V116" s="711"/>
      <c r="W116" s="711"/>
      <c r="X116" s="711"/>
      <c r="Y116" s="711"/>
      <c r="Z116" s="450">
        <f>76322154-13737987.72</f>
        <v>62584166.280000001</v>
      </c>
      <c r="AA116" s="450"/>
      <c r="AB116" s="521"/>
    </row>
    <row r="117" spans="1:28" ht="36.75" customHeight="1" x14ac:dyDescent="0.2">
      <c r="A117" s="714" t="s">
        <v>1096</v>
      </c>
      <c r="B117" s="714"/>
      <c r="C117" s="714"/>
      <c r="D117" s="714"/>
      <c r="E117" s="714"/>
      <c r="F117" s="714"/>
      <c r="G117" s="300"/>
      <c r="H117" s="438">
        <f>SUM(H97:H105)</f>
        <v>-4908673.32</v>
      </c>
      <c r="I117" s="438">
        <f t="shared" ref="I117:Y117" si="18">SUM(I97:I105)</f>
        <v>0</v>
      </c>
      <c r="J117" s="438">
        <f t="shared" si="18"/>
        <v>-136203.10999999999</v>
      </c>
      <c r="K117" s="438">
        <f t="shared" si="18"/>
        <v>0</v>
      </c>
      <c r="L117" s="438">
        <f t="shared" si="18"/>
        <v>0</v>
      </c>
      <c r="M117" s="438">
        <f t="shared" si="18"/>
        <v>0</v>
      </c>
      <c r="N117" s="438">
        <f t="shared" si="18"/>
        <v>-15856.99</v>
      </c>
      <c r="O117" s="438">
        <f t="shared" si="18"/>
        <v>0</v>
      </c>
      <c r="P117" s="438">
        <f t="shared" si="18"/>
        <v>4828554.1999999993</v>
      </c>
      <c r="Q117" s="438">
        <f t="shared" si="18"/>
        <v>0</v>
      </c>
      <c r="R117" s="438">
        <f t="shared" si="18"/>
        <v>0</v>
      </c>
      <c r="S117" s="438">
        <f t="shared" si="18"/>
        <v>237092.01</v>
      </c>
      <c r="T117" s="438">
        <f t="shared" si="18"/>
        <v>0</v>
      </c>
      <c r="U117" s="438">
        <f t="shared" si="18"/>
        <v>-1379124.31</v>
      </c>
      <c r="V117" s="438">
        <f t="shared" si="18"/>
        <v>0</v>
      </c>
      <c r="W117" s="438">
        <f t="shared" si="18"/>
        <v>-1374211.5200000014</v>
      </c>
      <c r="X117" s="438">
        <f t="shared" si="18"/>
        <v>0</v>
      </c>
      <c r="Y117" s="438">
        <f t="shared" si="18"/>
        <v>-1374211.5200000014</v>
      </c>
      <c r="Z117" s="450">
        <f>Z115-Z116</f>
        <v>2922929467.5377712</v>
      </c>
      <c r="AA117" s="450"/>
    </row>
    <row r="118" spans="1:28" ht="31.5" customHeight="1" x14ac:dyDescent="0.2">
      <c r="A118" s="714" t="s">
        <v>1103</v>
      </c>
      <c r="B118" s="714"/>
      <c r="C118" s="714"/>
      <c r="D118" s="714"/>
      <c r="E118" s="714"/>
      <c r="F118" s="714"/>
      <c r="G118" s="300"/>
      <c r="H118" s="438">
        <f>H96+H117</f>
        <v>-4908673.32</v>
      </c>
      <c r="I118" s="438">
        <f t="shared" ref="I118:Y118" si="19">I96+I117</f>
        <v>0</v>
      </c>
      <c r="J118" s="438">
        <f t="shared" si="19"/>
        <v>-136203.10999999999</v>
      </c>
      <c r="K118" s="438">
        <f t="shared" si="19"/>
        <v>0</v>
      </c>
      <c r="L118" s="438">
        <f t="shared" si="19"/>
        <v>0</v>
      </c>
      <c r="M118" s="438">
        <f t="shared" si="19"/>
        <v>0</v>
      </c>
      <c r="N118" s="438">
        <f t="shared" si="19"/>
        <v>-15856.99</v>
      </c>
      <c r="O118" s="438">
        <f t="shared" si="19"/>
        <v>0</v>
      </c>
      <c r="P118" s="438">
        <f t="shared" si="19"/>
        <v>4828554.1999999993</v>
      </c>
      <c r="Q118" s="438">
        <f t="shared" si="19"/>
        <v>0</v>
      </c>
      <c r="R118" s="438">
        <f t="shared" si="19"/>
        <v>0</v>
      </c>
      <c r="S118" s="438">
        <f t="shared" si="19"/>
        <v>237092.01</v>
      </c>
      <c r="T118" s="438">
        <f t="shared" si="19"/>
        <v>0</v>
      </c>
      <c r="U118" s="438">
        <f t="shared" si="19"/>
        <v>-1379124.31</v>
      </c>
      <c r="V118" s="438">
        <f t="shared" si="19"/>
        <v>-683714126.69999993</v>
      </c>
      <c r="W118" s="438">
        <f t="shared" si="19"/>
        <v>-685088338.21999991</v>
      </c>
      <c r="X118" s="438">
        <f t="shared" si="19"/>
        <v>0</v>
      </c>
      <c r="Y118" s="438">
        <f t="shared" si="19"/>
        <v>-685088338.21999991</v>
      </c>
    </row>
    <row r="119" spans="1:28" ht="30.75" customHeight="1" x14ac:dyDescent="0.2">
      <c r="A119" s="714" t="s">
        <v>1097</v>
      </c>
      <c r="B119" s="714"/>
      <c r="C119" s="714"/>
      <c r="D119" s="714"/>
      <c r="E119" s="714"/>
      <c r="F119" s="714"/>
      <c r="G119" s="300"/>
      <c r="H119" s="438">
        <f t="shared" ref="H119:Y119" si="20">SUM(H106:H114)</f>
        <v>0</v>
      </c>
      <c r="I119" s="438">
        <f t="shared" si="20"/>
        <v>0</v>
      </c>
      <c r="J119" s="438">
        <f t="shared" si="20"/>
        <v>7034767.8099999996</v>
      </c>
      <c r="K119" s="438">
        <f t="shared" si="20"/>
        <v>0</v>
      </c>
      <c r="L119" s="438">
        <f t="shared" si="20"/>
        <v>0</v>
      </c>
      <c r="M119" s="438">
        <f t="shared" si="20"/>
        <v>0</v>
      </c>
      <c r="N119" s="438">
        <f t="shared" si="20"/>
        <v>0</v>
      </c>
      <c r="O119" s="438">
        <f t="shared" si="20"/>
        <v>0</v>
      </c>
      <c r="P119" s="438">
        <f t="shared" si="20"/>
        <v>0</v>
      </c>
      <c r="Q119" s="438">
        <f t="shared" si="20"/>
        <v>0</v>
      </c>
      <c r="R119" s="438">
        <f t="shared" si="20"/>
        <v>0</v>
      </c>
      <c r="S119" s="438">
        <f t="shared" si="20"/>
        <v>0</v>
      </c>
      <c r="T119" s="438">
        <f t="shared" si="20"/>
        <v>0</v>
      </c>
      <c r="U119" s="438">
        <f t="shared" si="20"/>
        <v>133660588.63</v>
      </c>
      <c r="V119" s="438">
        <f t="shared" si="20"/>
        <v>0</v>
      </c>
      <c r="W119" s="438">
        <f t="shared" si="20"/>
        <v>140695356.44</v>
      </c>
      <c r="X119" s="438">
        <f t="shared" si="20"/>
        <v>0</v>
      </c>
      <c r="Y119" s="438">
        <f t="shared" si="20"/>
        <v>140695356.44</v>
      </c>
    </row>
    <row r="120" spans="1:28" customFormat="1" ht="21" customHeight="1" x14ac:dyDescent="0.4">
      <c r="A120" s="690" t="s">
        <v>396</v>
      </c>
      <c r="B120" s="690"/>
      <c r="C120" s="690"/>
      <c r="D120" s="690"/>
      <c r="E120" s="690"/>
      <c r="F120" s="690"/>
      <c r="G120" s="690"/>
      <c r="H120" s="690"/>
      <c r="I120" s="690"/>
      <c r="J120" s="690"/>
      <c r="K120" s="690"/>
      <c r="L120" s="690"/>
      <c r="M120" s="690"/>
      <c r="N120" s="690"/>
      <c r="O120" s="690"/>
      <c r="P120" s="690"/>
      <c r="Q120" s="690"/>
      <c r="R120" s="690"/>
      <c r="S120" s="690"/>
      <c r="T120" s="690"/>
      <c r="U120" s="690"/>
      <c r="V120" s="690"/>
      <c r="W120" s="691"/>
      <c r="X120" s="691"/>
      <c r="Y120" s="691"/>
    </row>
    <row r="121" spans="1:28" customFormat="1" ht="15.75" customHeight="1" thickBot="1" x14ac:dyDescent="0.4">
      <c r="A121" s="692" t="s">
        <v>1008</v>
      </c>
      <c r="B121" s="692"/>
      <c r="C121" s="692"/>
      <c r="D121" s="692"/>
      <c r="E121" s="692"/>
      <c r="F121" s="692"/>
      <c r="G121" s="692"/>
      <c r="H121" s="692"/>
      <c r="I121" s="692"/>
      <c r="J121" s="692"/>
      <c r="K121" s="692"/>
      <c r="L121" s="692"/>
      <c r="M121" s="692"/>
      <c r="N121" s="692"/>
      <c r="O121" s="692"/>
      <c r="P121" s="692"/>
      <c r="Q121" s="692"/>
      <c r="R121" s="692"/>
      <c r="S121" s="692"/>
      <c r="T121" s="692"/>
      <c r="U121" s="692"/>
      <c r="V121" s="692"/>
      <c r="W121" s="693"/>
      <c r="X121" s="693"/>
      <c r="Y121" s="693"/>
    </row>
    <row r="122" spans="1:28" customFormat="1" ht="18" customHeight="1" thickTop="1" x14ac:dyDescent="0.25">
      <c r="A122" s="694" t="s">
        <v>170</v>
      </c>
      <c r="B122" s="694"/>
      <c r="C122" s="694"/>
      <c r="D122" s="694"/>
      <c r="E122" s="694"/>
      <c r="F122" s="694"/>
      <c r="G122" s="694"/>
      <c r="H122" s="694"/>
      <c r="I122" s="694"/>
      <c r="J122" s="694"/>
      <c r="K122" s="694"/>
      <c r="L122" s="59"/>
      <c r="M122" s="59"/>
      <c r="N122" s="59"/>
      <c r="O122" s="60"/>
      <c r="P122" s="60"/>
      <c r="Q122" s="60"/>
      <c r="R122" s="60"/>
      <c r="S122" s="60"/>
      <c r="T122" s="60"/>
      <c r="U122" s="60"/>
      <c r="V122" s="291"/>
      <c r="Y122" s="424" t="s">
        <v>1005</v>
      </c>
    </row>
    <row r="123" spans="1:28" ht="15.75" customHeight="1" x14ac:dyDescent="0.2">
      <c r="A123" s="695" t="s">
        <v>397</v>
      </c>
      <c r="B123" s="696"/>
      <c r="C123" s="696"/>
      <c r="D123" s="696"/>
      <c r="E123" s="696"/>
      <c r="F123" s="697"/>
      <c r="G123" s="701" t="s">
        <v>791</v>
      </c>
      <c r="H123" s="703" t="s">
        <v>398</v>
      </c>
      <c r="I123" s="704"/>
      <c r="J123" s="704"/>
      <c r="K123" s="704"/>
      <c r="L123" s="704"/>
      <c r="M123" s="704"/>
      <c r="N123" s="704"/>
      <c r="O123" s="704"/>
      <c r="P123" s="704"/>
      <c r="Q123" s="704"/>
      <c r="R123" s="704"/>
      <c r="S123" s="704"/>
      <c r="T123" s="704"/>
      <c r="U123" s="704"/>
      <c r="V123" s="704"/>
      <c r="W123" s="705"/>
      <c r="X123" s="706" t="s">
        <v>399</v>
      </c>
      <c r="Y123" s="706" t="s">
        <v>400</v>
      </c>
    </row>
    <row r="124" spans="1:28" ht="90" x14ac:dyDescent="0.2">
      <c r="A124" s="698"/>
      <c r="B124" s="699"/>
      <c r="C124" s="699"/>
      <c r="D124" s="699"/>
      <c r="E124" s="699"/>
      <c r="F124" s="700"/>
      <c r="G124" s="702"/>
      <c r="H124" s="293" t="s">
        <v>401</v>
      </c>
      <c r="I124" s="293" t="s">
        <v>402</v>
      </c>
      <c r="J124" s="293" t="s">
        <v>403</v>
      </c>
      <c r="K124" s="293" t="s">
        <v>404</v>
      </c>
      <c r="L124" s="293" t="s">
        <v>405</v>
      </c>
      <c r="M124" s="293" t="s">
        <v>406</v>
      </c>
      <c r="N124" s="293" t="s">
        <v>407</v>
      </c>
      <c r="O124" s="293" t="s">
        <v>408</v>
      </c>
      <c r="P124" s="294" t="s">
        <v>792</v>
      </c>
      <c r="Q124" s="293" t="s">
        <v>409</v>
      </c>
      <c r="R124" s="293" t="s">
        <v>410</v>
      </c>
      <c r="S124" s="294" t="s">
        <v>793</v>
      </c>
      <c r="T124" s="294" t="s">
        <v>794</v>
      </c>
      <c r="U124" s="293" t="s">
        <v>411</v>
      </c>
      <c r="V124" s="293" t="s">
        <v>412</v>
      </c>
      <c r="W124" s="293" t="s">
        <v>413</v>
      </c>
      <c r="X124" s="707"/>
      <c r="Y124" s="707"/>
    </row>
    <row r="125" spans="1:28" ht="22.5" x14ac:dyDescent="0.2">
      <c r="A125" s="708" t="s">
        <v>178</v>
      </c>
      <c r="B125" s="708"/>
      <c r="C125" s="708"/>
      <c r="D125" s="708"/>
      <c r="E125" s="708"/>
      <c r="F125" s="708"/>
      <c r="G125" s="295">
        <v>2</v>
      </c>
      <c r="H125" s="293" t="s">
        <v>180</v>
      </c>
      <c r="I125" s="296" t="s">
        <v>181</v>
      </c>
      <c r="J125" s="293" t="s">
        <v>182</v>
      </c>
      <c r="K125" s="296" t="s">
        <v>183</v>
      </c>
      <c r="L125" s="293" t="s">
        <v>184</v>
      </c>
      <c r="M125" s="296" t="s">
        <v>185</v>
      </c>
      <c r="N125" s="293" t="s">
        <v>186</v>
      </c>
      <c r="O125" s="296" t="s">
        <v>187</v>
      </c>
      <c r="P125" s="293" t="s">
        <v>188</v>
      </c>
      <c r="Q125" s="296" t="s">
        <v>189</v>
      </c>
      <c r="R125" s="293" t="s">
        <v>190</v>
      </c>
      <c r="S125" s="293" t="s">
        <v>191</v>
      </c>
      <c r="T125" s="293" t="s">
        <v>192</v>
      </c>
      <c r="U125" s="293" t="s">
        <v>769</v>
      </c>
      <c r="V125" s="293" t="s">
        <v>414</v>
      </c>
      <c r="W125" s="293" t="s">
        <v>795</v>
      </c>
      <c r="X125" s="293">
        <v>19</v>
      </c>
      <c r="Y125" s="296" t="s">
        <v>796</v>
      </c>
    </row>
    <row r="126" spans="1:28" x14ac:dyDescent="0.2">
      <c r="A126" s="709" t="s">
        <v>430</v>
      </c>
      <c r="B126" s="715"/>
      <c r="C126" s="715"/>
      <c r="D126" s="715"/>
      <c r="E126" s="715"/>
      <c r="F126" s="715"/>
      <c r="G126" s="715"/>
      <c r="H126" s="715"/>
      <c r="I126" s="715"/>
      <c r="J126" s="715"/>
      <c r="K126" s="715"/>
      <c r="L126" s="715"/>
      <c r="M126" s="715"/>
      <c r="N126" s="715"/>
      <c r="O126" s="715"/>
      <c r="P126" s="715"/>
      <c r="Q126" s="715"/>
      <c r="R126" s="715"/>
      <c r="S126" s="715"/>
      <c r="T126" s="715"/>
      <c r="U126" s="715"/>
      <c r="V126" s="715"/>
      <c r="W126" s="715"/>
      <c r="X126" s="715"/>
      <c r="Y126" s="715"/>
    </row>
    <row r="127" spans="1:28" ht="12.75" customHeight="1" x14ac:dyDescent="0.2">
      <c r="A127" s="712" t="s">
        <v>811</v>
      </c>
      <c r="B127" s="712"/>
      <c r="C127" s="712"/>
      <c r="D127" s="712"/>
      <c r="E127" s="712"/>
      <c r="F127" s="712"/>
      <c r="G127" s="297"/>
      <c r="H127" s="436">
        <f>H115</f>
        <v>2626870953.6099997</v>
      </c>
      <c r="I127" s="436">
        <f t="shared" ref="I127:U127" si="21">I115</f>
        <v>0</v>
      </c>
      <c r="J127" s="436">
        <f t="shared" si="21"/>
        <v>79923705.359999999</v>
      </c>
      <c r="K127" s="436">
        <f t="shared" si="21"/>
        <v>0</v>
      </c>
      <c r="L127" s="436">
        <f t="shared" si="21"/>
        <v>0</v>
      </c>
      <c r="M127" s="436">
        <f t="shared" si="21"/>
        <v>0</v>
      </c>
      <c r="N127" s="436">
        <f t="shared" si="21"/>
        <v>8485851.6199999992</v>
      </c>
      <c r="O127" s="436">
        <f t="shared" si="21"/>
        <v>0</v>
      </c>
      <c r="P127" s="436">
        <f t="shared" si="21"/>
        <v>19428593.799999997</v>
      </c>
      <c r="Q127" s="436">
        <f t="shared" si="21"/>
        <v>0</v>
      </c>
      <c r="R127" s="436">
        <f t="shared" si="21"/>
        <v>0</v>
      </c>
      <c r="S127" s="436">
        <f>S115</f>
        <v>237092.01</v>
      </c>
      <c r="T127" s="436"/>
      <c r="U127" s="436">
        <f t="shared" si="21"/>
        <v>871697397.84000003</v>
      </c>
      <c r="V127" s="436"/>
      <c r="W127" s="437">
        <f>H127+I127+J127+K127-L127+M127+N127+O127+P127+Q127+R127+U127+V127+S127+T127</f>
        <v>3606643594.2400002</v>
      </c>
      <c r="X127" s="436"/>
      <c r="Y127" s="437">
        <f>W127+X127</f>
        <v>3606643594.2400002</v>
      </c>
    </row>
    <row r="128" spans="1:28" ht="12.75" customHeight="1" x14ac:dyDescent="0.2">
      <c r="A128" s="713" t="s">
        <v>416</v>
      </c>
      <c r="B128" s="713"/>
      <c r="C128" s="713"/>
      <c r="D128" s="713"/>
      <c r="E128" s="713"/>
      <c r="F128" s="713"/>
      <c r="G128" s="297"/>
      <c r="H128" s="436"/>
      <c r="I128" s="436"/>
      <c r="J128" s="436"/>
      <c r="K128" s="436"/>
      <c r="L128" s="436"/>
      <c r="M128" s="436"/>
      <c r="N128" s="436"/>
      <c r="O128" s="436"/>
      <c r="P128" s="436"/>
      <c r="Q128" s="436"/>
      <c r="R128" s="436"/>
      <c r="S128" s="436"/>
      <c r="T128" s="436"/>
      <c r="U128" s="436"/>
      <c r="V128" s="436"/>
      <c r="W128" s="437">
        <f>H128+I128+J128+K128-L128+M128+N128+O128+P128+Q128+R128+U128+V128+S128+T128</f>
        <v>0</v>
      </c>
      <c r="X128" s="436"/>
      <c r="Y128" s="437">
        <f>W128+X128</f>
        <v>0</v>
      </c>
    </row>
    <row r="129" spans="1:25" ht="12.75" customHeight="1" x14ac:dyDescent="0.2">
      <c r="A129" s="713" t="s">
        <v>417</v>
      </c>
      <c r="B129" s="713"/>
      <c r="C129" s="713"/>
      <c r="D129" s="713"/>
      <c r="E129" s="713"/>
      <c r="F129" s="713"/>
      <c r="G129" s="297"/>
      <c r="H129" s="436"/>
      <c r="I129" s="436"/>
      <c r="J129" s="436">
        <v>0.03</v>
      </c>
      <c r="K129" s="436"/>
      <c r="L129" s="436"/>
      <c r="M129" s="436"/>
      <c r="N129" s="436">
        <v>0.04</v>
      </c>
      <c r="O129" s="436"/>
      <c r="P129" s="436">
        <v>-0.06</v>
      </c>
      <c r="Q129" s="436"/>
      <c r="R129" s="436"/>
      <c r="S129" s="436"/>
      <c r="T129" s="436"/>
      <c r="U129" s="436"/>
      <c r="V129" s="436"/>
      <c r="W129" s="437">
        <f>H129+I129+J129+K129-L129+M129+N129+O129+P129+Q129+R129+U129+V129+S129+T129</f>
        <v>1.0000000000000009E-2</v>
      </c>
      <c r="X129" s="436"/>
      <c r="Y129" s="437">
        <f>W129+X129</f>
        <v>1.0000000000000009E-2</v>
      </c>
    </row>
    <row r="130" spans="1:25" ht="25.5" customHeight="1" x14ac:dyDescent="0.2">
      <c r="A130" s="687" t="s">
        <v>1098</v>
      </c>
      <c r="B130" s="687"/>
      <c r="C130" s="687"/>
      <c r="D130" s="687"/>
      <c r="E130" s="687"/>
      <c r="F130" s="687"/>
      <c r="G130" s="300"/>
      <c r="H130" s="438">
        <f>H127+H128+H129</f>
        <v>2626870953.6099997</v>
      </c>
      <c r="I130" s="438">
        <f t="shared" ref="I130:Y130" si="22">I127+I128+I129</f>
        <v>0</v>
      </c>
      <c r="J130" s="438">
        <f t="shared" si="22"/>
        <v>79923705.390000001</v>
      </c>
      <c r="K130" s="438">
        <f t="shared" si="22"/>
        <v>0</v>
      </c>
      <c r="L130" s="438">
        <f t="shared" si="22"/>
        <v>0</v>
      </c>
      <c r="M130" s="438">
        <f t="shared" si="22"/>
        <v>0</v>
      </c>
      <c r="N130" s="438">
        <f t="shared" si="22"/>
        <v>8485851.6599999983</v>
      </c>
      <c r="O130" s="438">
        <f t="shared" si="22"/>
        <v>0</v>
      </c>
      <c r="P130" s="438">
        <f t="shared" si="22"/>
        <v>19428593.739999998</v>
      </c>
      <c r="Q130" s="438">
        <f t="shared" si="22"/>
        <v>0</v>
      </c>
      <c r="R130" s="438">
        <f t="shared" si="22"/>
        <v>0</v>
      </c>
      <c r="S130" s="438">
        <f t="shared" si="22"/>
        <v>237092.01</v>
      </c>
      <c r="T130" s="438">
        <f t="shared" si="22"/>
        <v>0</v>
      </c>
      <c r="U130" s="438">
        <f t="shared" si="22"/>
        <v>871697397.84000003</v>
      </c>
      <c r="V130" s="438">
        <f t="shared" si="22"/>
        <v>0</v>
      </c>
      <c r="W130" s="438">
        <f t="shared" si="22"/>
        <v>3606643594.2500005</v>
      </c>
      <c r="X130" s="438">
        <f t="shared" si="22"/>
        <v>0</v>
      </c>
      <c r="Y130" s="438">
        <f t="shared" si="22"/>
        <v>3606643594.2500005</v>
      </c>
    </row>
    <row r="131" spans="1:25" ht="12.75" customHeight="1" x14ac:dyDescent="0.2">
      <c r="A131" s="713" t="s">
        <v>418</v>
      </c>
      <c r="B131" s="713"/>
      <c r="C131" s="713"/>
      <c r="D131" s="713"/>
      <c r="E131" s="713"/>
      <c r="F131" s="713"/>
      <c r="G131" s="297"/>
      <c r="H131" s="439">
        <v>0</v>
      </c>
      <c r="I131" s="439">
        <v>0</v>
      </c>
      <c r="J131" s="439">
        <v>0</v>
      </c>
      <c r="K131" s="439">
        <v>0</v>
      </c>
      <c r="L131" s="439">
        <v>0</v>
      </c>
      <c r="M131" s="439">
        <v>0</v>
      </c>
      <c r="N131" s="439">
        <v>0</v>
      </c>
      <c r="O131" s="439">
        <v>0</v>
      </c>
      <c r="P131" s="439">
        <v>0</v>
      </c>
      <c r="Q131" s="439">
        <v>0</v>
      </c>
      <c r="R131" s="439">
        <v>0</v>
      </c>
      <c r="S131" s="436"/>
      <c r="T131" s="436"/>
      <c r="U131" s="439">
        <v>0</v>
      </c>
      <c r="V131" s="436">
        <f>-33394223.45-13737987.72</f>
        <v>-47132211.170000002</v>
      </c>
      <c r="W131" s="437">
        <f t="shared" ref="W131:W149" si="23">H131+I131+J131+K131-L131+M131+N131+O131+P131+Q131+R131+U131+V131+S131+T131</f>
        <v>-47132211.170000002</v>
      </c>
      <c r="X131" s="436"/>
      <c r="Y131" s="437">
        <f t="shared" ref="Y131:Y149" si="24">W131+X131</f>
        <v>-47132211.170000002</v>
      </c>
    </row>
    <row r="132" spans="1:25" ht="12.75" customHeight="1" x14ac:dyDescent="0.2">
      <c r="A132" s="713" t="s">
        <v>419</v>
      </c>
      <c r="B132" s="713"/>
      <c r="C132" s="713"/>
      <c r="D132" s="713"/>
      <c r="E132" s="713"/>
      <c r="F132" s="713"/>
      <c r="G132" s="297"/>
      <c r="H132" s="439">
        <v>0</v>
      </c>
      <c r="I132" s="439">
        <v>0</v>
      </c>
      <c r="J132" s="439">
        <v>0</v>
      </c>
      <c r="K132" s="439">
        <v>0</v>
      </c>
      <c r="L132" s="439">
        <v>0</v>
      </c>
      <c r="M132" s="439">
        <v>0</v>
      </c>
      <c r="N132" s="436"/>
      <c r="O132" s="439">
        <v>0</v>
      </c>
      <c r="P132" s="439">
        <v>0</v>
      </c>
      <c r="Q132" s="439">
        <v>0</v>
      </c>
      <c r="R132" s="439">
        <v>0</v>
      </c>
      <c r="S132" s="436"/>
      <c r="T132" s="436"/>
      <c r="U132" s="439">
        <v>0</v>
      </c>
      <c r="V132" s="439">
        <v>0</v>
      </c>
      <c r="W132" s="437">
        <f t="shared" si="23"/>
        <v>0</v>
      </c>
      <c r="X132" s="436"/>
      <c r="Y132" s="437">
        <f t="shared" si="24"/>
        <v>0</v>
      </c>
    </row>
    <row r="133" spans="1:25" ht="27" customHeight="1" x14ac:dyDescent="0.2">
      <c r="A133" s="713" t="s">
        <v>431</v>
      </c>
      <c r="B133" s="713"/>
      <c r="C133" s="713"/>
      <c r="D133" s="713"/>
      <c r="E133" s="713"/>
      <c r="F133" s="713"/>
      <c r="G133" s="297"/>
      <c r="H133" s="439">
        <v>0</v>
      </c>
      <c r="I133" s="439">
        <v>0</v>
      </c>
      <c r="J133" s="439">
        <v>0</v>
      </c>
      <c r="K133" s="439">
        <v>0</v>
      </c>
      <c r="L133" s="439">
        <v>0</v>
      </c>
      <c r="M133" s="439">
        <v>0</v>
      </c>
      <c r="N133" s="439">
        <v>0</v>
      </c>
      <c r="O133" s="436"/>
      <c r="P133" s="439">
        <v>0</v>
      </c>
      <c r="Q133" s="439">
        <v>0</v>
      </c>
      <c r="R133" s="439">
        <v>0</v>
      </c>
      <c r="S133" s="436"/>
      <c r="T133" s="436"/>
      <c r="U133" s="436"/>
      <c r="V133" s="436"/>
      <c r="W133" s="437">
        <f t="shared" si="23"/>
        <v>0</v>
      </c>
      <c r="X133" s="436"/>
      <c r="Y133" s="437">
        <f t="shared" si="24"/>
        <v>0</v>
      </c>
    </row>
    <row r="134" spans="1:25" ht="20.25" customHeight="1" x14ac:dyDescent="0.2">
      <c r="A134" s="713" t="s">
        <v>799</v>
      </c>
      <c r="B134" s="713"/>
      <c r="C134" s="713"/>
      <c r="D134" s="713"/>
      <c r="E134" s="713"/>
      <c r="F134" s="713"/>
      <c r="G134" s="297"/>
      <c r="H134" s="439">
        <v>0</v>
      </c>
      <c r="I134" s="439">
        <v>0</v>
      </c>
      <c r="J134" s="439">
        <v>0</v>
      </c>
      <c r="K134" s="439">
        <v>0</v>
      </c>
      <c r="L134" s="439">
        <v>0</v>
      </c>
      <c r="M134" s="439">
        <v>0</v>
      </c>
      <c r="N134" s="439">
        <v>0</v>
      </c>
      <c r="O134" s="439">
        <v>0</v>
      </c>
      <c r="P134" s="436">
        <f>1447832.88</f>
        <v>1447832.88</v>
      </c>
      <c r="Q134" s="439">
        <v>0</v>
      </c>
      <c r="R134" s="439">
        <v>0</v>
      </c>
      <c r="S134" s="436"/>
      <c r="T134" s="436"/>
      <c r="U134" s="440"/>
      <c r="V134" s="436"/>
      <c r="W134" s="437">
        <f t="shared" si="23"/>
        <v>1447832.88</v>
      </c>
      <c r="X134" s="436"/>
      <c r="Y134" s="437">
        <f t="shared" si="24"/>
        <v>1447832.88</v>
      </c>
    </row>
    <row r="135" spans="1:25" ht="21" customHeight="1" x14ac:dyDescent="0.2">
      <c r="A135" s="713" t="s">
        <v>421</v>
      </c>
      <c r="B135" s="713"/>
      <c r="C135" s="713"/>
      <c r="D135" s="713"/>
      <c r="E135" s="713"/>
      <c r="F135" s="713"/>
      <c r="G135" s="297"/>
      <c r="H135" s="439">
        <v>0</v>
      </c>
      <c r="I135" s="439">
        <v>0</v>
      </c>
      <c r="J135" s="439">
        <v>0</v>
      </c>
      <c r="K135" s="439">
        <v>0</v>
      </c>
      <c r="L135" s="439">
        <v>0</v>
      </c>
      <c r="M135" s="439">
        <v>0</v>
      </c>
      <c r="N135" s="439">
        <v>0</v>
      </c>
      <c r="O135" s="439">
        <v>0</v>
      </c>
      <c r="P135" s="439">
        <v>0</v>
      </c>
      <c r="Q135" s="436"/>
      <c r="R135" s="439">
        <v>0</v>
      </c>
      <c r="S135" s="436"/>
      <c r="T135" s="436"/>
      <c r="U135" s="436"/>
      <c r="V135" s="436"/>
      <c r="W135" s="437">
        <f t="shared" si="23"/>
        <v>0</v>
      </c>
      <c r="X135" s="436"/>
      <c r="Y135" s="437">
        <f t="shared" si="24"/>
        <v>0</v>
      </c>
    </row>
    <row r="136" spans="1:25" ht="29.25" customHeight="1" x14ac:dyDescent="0.2">
      <c r="A136" s="713" t="s">
        <v>422</v>
      </c>
      <c r="B136" s="713"/>
      <c r="C136" s="713"/>
      <c r="D136" s="713"/>
      <c r="E136" s="713"/>
      <c r="F136" s="713"/>
      <c r="G136" s="297"/>
      <c r="H136" s="439">
        <v>0</v>
      </c>
      <c r="I136" s="439">
        <v>0</v>
      </c>
      <c r="J136" s="439">
        <v>0</v>
      </c>
      <c r="K136" s="439">
        <v>0</v>
      </c>
      <c r="L136" s="439">
        <v>0</v>
      </c>
      <c r="M136" s="439">
        <v>0</v>
      </c>
      <c r="N136" s="439">
        <v>0</v>
      </c>
      <c r="O136" s="439">
        <v>0</v>
      </c>
      <c r="P136" s="439">
        <v>0</v>
      </c>
      <c r="Q136" s="439">
        <v>0</v>
      </c>
      <c r="R136" s="436"/>
      <c r="S136" s="436"/>
      <c r="T136" s="436"/>
      <c r="U136" s="436"/>
      <c r="V136" s="436"/>
      <c r="W136" s="437">
        <f t="shared" si="23"/>
        <v>0</v>
      </c>
      <c r="X136" s="436"/>
      <c r="Y136" s="437">
        <f t="shared" si="24"/>
        <v>0</v>
      </c>
    </row>
    <row r="137" spans="1:25" ht="21" customHeight="1" x14ac:dyDescent="0.2">
      <c r="A137" s="713" t="s">
        <v>432</v>
      </c>
      <c r="B137" s="713"/>
      <c r="C137" s="713"/>
      <c r="D137" s="713"/>
      <c r="E137" s="713"/>
      <c r="F137" s="713"/>
      <c r="G137" s="297"/>
      <c r="H137" s="439">
        <v>0</v>
      </c>
      <c r="I137" s="439">
        <v>0</v>
      </c>
      <c r="J137" s="439">
        <v>0</v>
      </c>
      <c r="K137" s="439">
        <v>0</v>
      </c>
      <c r="L137" s="439">
        <v>0</v>
      </c>
      <c r="M137" s="439">
        <v>0</v>
      </c>
      <c r="N137" s="436"/>
      <c r="O137" s="436"/>
      <c r="P137" s="436"/>
      <c r="Q137" s="436"/>
      <c r="R137" s="436"/>
      <c r="S137" s="436"/>
      <c r="T137" s="436"/>
      <c r="U137" s="436"/>
      <c r="V137" s="436"/>
      <c r="W137" s="437">
        <f t="shared" si="23"/>
        <v>0</v>
      </c>
      <c r="X137" s="436"/>
      <c r="Y137" s="437">
        <f t="shared" si="24"/>
        <v>0</v>
      </c>
    </row>
    <row r="138" spans="1:25" ht="12.75" customHeight="1" x14ac:dyDescent="0.2">
      <c r="A138" s="713" t="s">
        <v>424</v>
      </c>
      <c r="B138" s="713"/>
      <c r="C138" s="713"/>
      <c r="D138" s="713"/>
      <c r="E138" s="713"/>
      <c r="F138" s="713"/>
      <c r="G138" s="297"/>
      <c r="H138" s="439">
        <v>0</v>
      </c>
      <c r="I138" s="439">
        <v>0</v>
      </c>
      <c r="J138" s="439">
        <v>0</v>
      </c>
      <c r="K138" s="439">
        <v>0</v>
      </c>
      <c r="L138" s="439">
        <v>0</v>
      </c>
      <c r="M138" s="439">
        <v>0</v>
      </c>
      <c r="N138" s="436"/>
      <c r="O138" s="436"/>
      <c r="P138" s="436"/>
      <c r="Q138" s="436"/>
      <c r="R138" s="436"/>
      <c r="S138" s="436"/>
      <c r="T138" s="436"/>
      <c r="U138" s="436"/>
      <c r="V138" s="436"/>
      <c r="W138" s="437">
        <f t="shared" si="23"/>
        <v>0</v>
      </c>
      <c r="X138" s="436"/>
      <c r="Y138" s="437">
        <f t="shared" si="24"/>
        <v>0</v>
      </c>
    </row>
    <row r="139" spans="1:25" ht="12.75" customHeight="1" x14ac:dyDescent="0.2">
      <c r="A139" s="713" t="s">
        <v>425</v>
      </c>
      <c r="B139" s="713"/>
      <c r="C139" s="713"/>
      <c r="D139" s="713"/>
      <c r="E139" s="713"/>
      <c r="F139" s="713"/>
      <c r="G139" s="297"/>
      <c r="H139" s="436">
        <f>1087962.39</f>
        <v>1087962.3899999999</v>
      </c>
      <c r="I139" s="440"/>
      <c r="J139" s="436">
        <f>-1087962.39</f>
        <v>-1087962.3899999999</v>
      </c>
      <c r="K139" s="440"/>
      <c r="L139" s="440"/>
      <c r="M139" s="440"/>
      <c r="N139" s="440"/>
      <c r="O139" s="436"/>
      <c r="P139" s="440"/>
      <c r="Q139" s="436"/>
      <c r="R139" s="436"/>
      <c r="S139" s="436">
        <v>-237092.01</v>
      </c>
      <c r="T139" s="436"/>
      <c r="U139" s="436">
        <f>-76322154+13737987.72</f>
        <v>-62584166.280000001</v>
      </c>
      <c r="V139" s="436"/>
      <c r="W139" s="437">
        <f t="shared" si="23"/>
        <v>-62821258.289999999</v>
      </c>
      <c r="X139" s="436"/>
      <c r="Y139" s="437">
        <f t="shared" si="24"/>
        <v>-62821258.289999999</v>
      </c>
    </row>
    <row r="140" spans="1:25" ht="12.75" customHeight="1" x14ac:dyDescent="0.2">
      <c r="A140" s="713" t="s">
        <v>426</v>
      </c>
      <c r="B140" s="713"/>
      <c r="C140" s="713"/>
      <c r="D140" s="713"/>
      <c r="E140" s="713"/>
      <c r="F140" s="713"/>
      <c r="G140" s="297"/>
      <c r="H140" s="439">
        <v>0</v>
      </c>
      <c r="I140" s="439">
        <v>0</v>
      </c>
      <c r="J140" s="439">
        <v>0</v>
      </c>
      <c r="K140" s="439">
        <v>0</v>
      </c>
      <c r="L140" s="439">
        <v>0</v>
      </c>
      <c r="M140" s="439">
        <v>0</v>
      </c>
      <c r="N140" s="436"/>
      <c r="O140" s="436"/>
      <c r="P140" s="436"/>
      <c r="Q140" s="436"/>
      <c r="R140" s="436"/>
      <c r="S140" s="436"/>
      <c r="T140" s="436"/>
      <c r="U140" s="436"/>
      <c r="V140" s="436"/>
      <c r="W140" s="437">
        <f t="shared" si="23"/>
        <v>0</v>
      </c>
      <c r="X140" s="436"/>
      <c r="Y140" s="437">
        <f t="shared" si="24"/>
        <v>0</v>
      </c>
    </row>
    <row r="141" spans="1:25" ht="24" customHeight="1" x14ac:dyDescent="0.2">
      <c r="A141" s="713" t="s">
        <v>800</v>
      </c>
      <c r="B141" s="713"/>
      <c r="C141" s="713"/>
      <c r="D141" s="713"/>
      <c r="E141" s="713"/>
      <c r="F141" s="713"/>
      <c r="G141" s="297"/>
      <c r="H141" s="436"/>
      <c r="I141" s="436"/>
      <c r="J141" s="436"/>
      <c r="K141" s="436"/>
      <c r="L141" s="436"/>
      <c r="M141" s="436"/>
      <c r="N141" s="436"/>
      <c r="O141" s="436"/>
      <c r="P141" s="436"/>
      <c r="Q141" s="436"/>
      <c r="R141" s="436"/>
      <c r="S141" s="436"/>
      <c r="T141" s="436"/>
      <c r="U141" s="436"/>
      <c r="V141" s="436"/>
      <c r="W141" s="437">
        <f t="shared" si="23"/>
        <v>0</v>
      </c>
      <c r="X141" s="436"/>
      <c r="Y141" s="437">
        <f t="shared" si="24"/>
        <v>0</v>
      </c>
    </row>
    <row r="142" spans="1:25" ht="26.25" customHeight="1" x14ac:dyDescent="0.2">
      <c r="A142" s="713" t="s">
        <v>801</v>
      </c>
      <c r="B142" s="713"/>
      <c r="C142" s="713"/>
      <c r="D142" s="713"/>
      <c r="E142" s="713"/>
      <c r="F142" s="713"/>
      <c r="G142" s="297"/>
      <c r="H142" s="436"/>
      <c r="I142" s="436"/>
      <c r="J142" s="436"/>
      <c r="K142" s="436"/>
      <c r="L142" s="436"/>
      <c r="M142" s="436"/>
      <c r="N142" s="436"/>
      <c r="O142" s="436"/>
      <c r="P142" s="436"/>
      <c r="Q142" s="436"/>
      <c r="R142" s="436"/>
      <c r="S142" s="436"/>
      <c r="T142" s="436"/>
      <c r="U142" s="436"/>
      <c r="V142" s="436"/>
      <c r="W142" s="437">
        <f t="shared" si="23"/>
        <v>0</v>
      </c>
      <c r="X142" s="436"/>
      <c r="Y142" s="437">
        <f t="shared" si="24"/>
        <v>0</v>
      </c>
    </row>
    <row r="143" spans="1:25" ht="22.5" customHeight="1" x14ac:dyDescent="0.2">
      <c r="A143" s="713" t="s">
        <v>802</v>
      </c>
      <c r="B143" s="713"/>
      <c r="C143" s="713"/>
      <c r="D143" s="713"/>
      <c r="E143" s="713"/>
      <c r="F143" s="713"/>
      <c r="G143" s="297"/>
      <c r="H143" s="436"/>
      <c r="I143" s="436"/>
      <c r="J143" s="436"/>
      <c r="K143" s="436"/>
      <c r="L143" s="436"/>
      <c r="M143" s="436"/>
      <c r="N143" s="436"/>
      <c r="O143" s="436"/>
      <c r="P143" s="436"/>
      <c r="Q143" s="436"/>
      <c r="R143" s="436"/>
      <c r="S143" s="436"/>
      <c r="T143" s="436"/>
      <c r="U143" s="436"/>
      <c r="V143" s="436"/>
      <c r="W143" s="437">
        <f t="shared" si="23"/>
        <v>0</v>
      </c>
      <c r="X143" s="436"/>
      <c r="Y143" s="437">
        <f t="shared" si="24"/>
        <v>0</v>
      </c>
    </row>
    <row r="144" spans="1:25" ht="12.75" customHeight="1" x14ac:dyDescent="0.2">
      <c r="A144" s="713" t="s">
        <v>427</v>
      </c>
      <c r="B144" s="713"/>
      <c r="C144" s="713"/>
      <c r="D144" s="713"/>
      <c r="E144" s="713"/>
      <c r="F144" s="713"/>
      <c r="G144" s="297"/>
      <c r="H144" s="436"/>
      <c r="I144" s="436"/>
      <c r="J144" s="436"/>
      <c r="K144" s="436"/>
      <c r="L144" s="436"/>
      <c r="M144" s="436"/>
      <c r="N144" s="436"/>
      <c r="O144" s="436"/>
      <c r="P144" s="436"/>
      <c r="Q144" s="436"/>
      <c r="R144" s="436"/>
      <c r="S144" s="436"/>
      <c r="T144" s="436"/>
      <c r="U144" s="436"/>
      <c r="V144" s="436"/>
      <c r="W144" s="437">
        <f t="shared" si="23"/>
        <v>0</v>
      </c>
      <c r="X144" s="436"/>
      <c r="Y144" s="437">
        <f t="shared" si="24"/>
        <v>0</v>
      </c>
    </row>
    <row r="145" spans="1:25" ht="12.75" customHeight="1" x14ac:dyDescent="0.2">
      <c r="A145" s="713" t="s">
        <v>803</v>
      </c>
      <c r="B145" s="713"/>
      <c r="C145" s="713"/>
      <c r="D145" s="713"/>
      <c r="E145" s="713"/>
      <c r="F145" s="713"/>
      <c r="G145" s="297"/>
      <c r="H145" s="436"/>
      <c r="I145" s="436"/>
      <c r="J145" s="436"/>
      <c r="K145" s="436"/>
      <c r="L145" s="436"/>
      <c r="M145" s="436"/>
      <c r="N145" s="436"/>
      <c r="O145" s="436"/>
      <c r="P145" s="436"/>
      <c r="Q145" s="436"/>
      <c r="R145" s="436"/>
      <c r="S145" s="436"/>
      <c r="T145" s="436"/>
      <c r="U145" s="436"/>
      <c r="V145" s="436"/>
      <c r="W145" s="437">
        <f t="shared" si="23"/>
        <v>0</v>
      </c>
      <c r="X145" s="436"/>
      <c r="Y145" s="437">
        <f t="shared" si="24"/>
        <v>0</v>
      </c>
    </row>
    <row r="146" spans="1:25" ht="12.75" customHeight="1" x14ac:dyDescent="0.2">
      <c r="A146" s="713" t="s">
        <v>813</v>
      </c>
      <c r="B146" s="713"/>
      <c r="C146" s="713"/>
      <c r="D146" s="713"/>
      <c r="E146" s="713"/>
      <c r="F146" s="713"/>
      <c r="G146" s="297"/>
      <c r="H146" s="436"/>
      <c r="I146" s="436"/>
      <c r="J146" s="436"/>
      <c r="K146" s="436"/>
      <c r="L146" s="436"/>
      <c r="M146" s="436"/>
      <c r="N146" s="436"/>
      <c r="O146" s="436"/>
      <c r="P146" s="436"/>
      <c r="Q146" s="436"/>
      <c r="R146" s="436"/>
      <c r="S146" s="436"/>
      <c r="T146" s="436"/>
      <c r="U146" s="440"/>
      <c r="V146" s="436"/>
      <c r="W146" s="437">
        <f t="shared" si="23"/>
        <v>0</v>
      </c>
      <c r="X146" s="436"/>
      <c r="Y146" s="437">
        <f t="shared" si="24"/>
        <v>0</v>
      </c>
    </row>
    <row r="147" spans="1:25" ht="12.75" customHeight="1" x14ac:dyDescent="0.2">
      <c r="A147" s="713" t="s">
        <v>805</v>
      </c>
      <c r="B147" s="713"/>
      <c r="C147" s="713"/>
      <c r="D147" s="713"/>
      <c r="E147" s="713"/>
      <c r="F147" s="713"/>
      <c r="G147" s="297"/>
      <c r="H147" s="436"/>
      <c r="I147" s="436"/>
      <c r="J147" s="436"/>
      <c r="K147" s="436"/>
      <c r="L147" s="436"/>
      <c r="M147" s="436"/>
      <c r="N147" s="436"/>
      <c r="O147" s="436"/>
      <c r="P147" s="436"/>
      <c r="Q147" s="436"/>
      <c r="R147" s="436"/>
      <c r="S147" s="436"/>
      <c r="T147" s="436"/>
      <c r="U147" s="436"/>
      <c r="V147" s="436"/>
      <c r="W147" s="437">
        <f t="shared" si="23"/>
        <v>0</v>
      </c>
      <c r="X147" s="436"/>
      <c r="Y147" s="437">
        <f t="shared" si="24"/>
        <v>0</v>
      </c>
    </row>
    <row r="148" spans="1:25" ht="12.75" customHeight="1" x14ac:dyDescent="0.2">
      <c r="A148" s="713" t="s">
        <v>814</v>
      </c>
      <c r="B148" s="713"/>
      <c r="C148" s="713"/>
      <c r="D148" s="713"/>
      <c r="E148" s="713"/>
      <c r="F148" s="713"/>
      <c r="G148" s="297"/>
      <c r="H148" s="436"/>
      <c r="I148" s="436"/>
      <c r="J148" s="436"/>
      <c r="K148" s="436"/>
      <c r="L148" s="436"/>
      <c r="M148" s="436"/>
      <c r="N148" s="436"/>
      <c r="O148" s="436"/>
      <c r="P148" s="436"/>
      <c r="Q148" s="436"/>
      <c r="R148" s="436"/>
      <c r="S148" s="436"/>
      <c r="T148" s="436"/>
      <c r="U148" s="436">
        <v>-620892868.37</v>
      </c>
      <c r="V148" s="436"/>
      <c r="W148" s="437">
        <f t="shared" si="23"/>
        <v>-620892868.37</v>
      </c>
      <c r="X148" s="436"/>
      <c r="Y148" s="437">
        <f t="shared" si="24"/>
        <v>-620892868.37</v>
      </c>
    </row>
    <row r="149" spans="1:25" ht="12.75" customHeight="1" x14ac:dyDescent="0.2">
      <c r="A149" s="713" t="s">
        <v>807</v>
      </c>
      <c r="B149" s="713"/>
      <c r="C149" s="713"/>
      <c r="D149" s="713"/>
      <c r="E149" s="713"/>
      <c r="F149" s="713"/>
      <c r="G149" s="297"/>
      <c r="H149" s="436"/>
      <c r="I149" s="436"/>
      <c r="J149" s="436"/>
      <c r="K149" s="436"/>
      <c r="L149" s="436"/>
      <c r="M149" s="436"/>
      <c r="N149" s="436"/>
      <c r="O149" s="436"/>
      <c r="P149" s="436"/>
      <c r="Q149" s="436"/>
      <c r="R149" s="436"/>
      <c r="S149" s="436"/>
      <c r="T149" s="436"/>
      <c r="U149" s="436"/>
      <c r="V149" s="436"/>
      <c r="W149" s="437">
        <f t="shared" si="23"/>
        <v>0</v>
      </c>
      <c r="X149" s="436"/>
      <c r="Y149" s="437">
        <f t="shared" si="24"/>
        <v>0</v>
      </c>
    </row>
    <row r="150" spans="1:25" ht="24" customHeight="1" x14ac:dyDescent="0.2">
      <c r="A150" s="687" t="s">
        <v>1099</v>
      </c>
      <c r="B150" s="687"/>
      <c r="C150" s="687"/>
      <c r="D150" s="687"/>
      <c r="E150" s="687"/>
      <c r="F150" s="687"/>
      <c r="G150" s="300"/>
      <c r="H150" s="438">
        <f t="shared" ref="H150:T150" si="25">SUM(H130:H149)</f>
        <v>2627958915.9999995</v>
      </c>
      <c r="I150" s="438">
        <f t="shared" si="25"/>
        <v>0</v>
      </c>
      <c r="J150" s="438">
        <f t="shared" si="25"/>
        <v>78835743</v>
      </c>
      <c r="K150" s="438">
        <f t="shared" si="25"/>
        <v>0</v>
      </c>
      <c r="L150" s="438">
        <f t="shared" si="25"/>
        <v>0</v>
      </c>
      <c r="M150" s="438">
        <f t="shared" si="25"/>
        <v>0</v>
      </c>
      <c r="N150" s="438">
        <f t="shared" si="25"/>
        <v>8485851.6599999983</v>
      </c>
      <c r="O150" s="438">
        <f t="shared" si="25"/>
        <v>0</v>
      </c>
      <c r="P150" s="438">
        <f t="shared" si="25"/>
        <v>20876426.619999997</v>
      </c>
      <c r="Q150" s="438">
        <f t="shared" si="25"/>
        <v>0</v>
      </c>
      <c r="R150" s="438">
        <f t="shared" si="25"/>
        <v>0</v>
      </c>
      <c r="S150" s="438">
        <f t="shared" si="25"/>
        <v>0</v>
      </c>
      <c r="T150" s="438">
        <f t="shared" si="25"/>
        <v>0</v>
      </c>
      <c r="U150" s="438">
        <f>SUM(U130:U149)</f>
        <v>188220363.19000006</v>
      </c>
      <c r="V150" s="438">
        <f>SUM(V130:V149)</f>
        <v>-47132211.170000002</v>
      </c>
      <c r="W150" s="438">
        <f>SUM(W130:W149)</f>
        <v>2877245089.3000007</v>
      </c>
      <c r="X150" s="438">
        <f>SUM(X130:X149)</f>
        <v>0</v>
      </c>
      <c r="Y150" s="438">
        <f>SUM(Y130:Y149)</f>
        <v>2877245089.3000007</v>
      </c>
    </row>
    <row r="151" spans="1:25" x14ac:dyDescent="0.2">
      <c r="A151" s="709" t="s">
        <v>428</v>
      </c>
      <c r="B151" s="711"/>
      <c r="C151" s="711"/>
      <c r="D151" s="711"/>
      <c r="E151" s="711"/>
      <c r="F151" s="711"/>
      <c r="G151" s="711"/>
      <c r="H151" s="711"/>
      <c r="I151" s="711"/>
      <c r="J151" s="711"/>
      <c r="K151" s="711"/>
      <c r="L151" s="711"/>
      <c r="M151" s="711"/>
      <c r="N151" s="711"/>
      <c r="O151" s="711"/>
      <c r="P151" s="711"/>
      <c r="Q151" s="711"/>
      <c r="R151" s="711"/>
      <c r="S151" s="711"/>
      <c r="T151" s="711"/>
      <c r="U151" s="711"/>
      <c r="V151" s="711"/>
      <c r="W151" s="711"/>
      <c r="X151" s="711"/>
      <c r="Y151" s="711"/>
    </row>
    <row r="152" spans="1:25" ht="31.5" customHeight="1" x14ac:dyDescent="0.2">
      <c r="A152" s="714" t="s">
        <v>1100</v>
      </c>
      <c r="B152" s="714"/>
      <c r="C152" s="714"/>
      <c r="D152" s="714"/>
      <c r="E152" s="714"/>
      <c r="F152" s="714"/>
      <c r="G152" s="300"/>
      <c r="H152" s="438">
        <f t="shared" ref="H152:T152" si="26">SUM(H132:H140)</f>
        <v>1087962.3899999999</v>
      </c>
      <c r="I152" s="438">
        <f t="shared" si="26"/>
        <v>0</v>
      </c>
      <c r="J152" s="438">
        <f t="shared" si="26"/>
        <v>-1087962.3899999999</v>
      </c>
      <c r="K152" s="438">
        <f t="shared" si="26"/>
        <v>0</v>
      </c>
      <c r="L152" s="438">
        <f t="shared" si="26"/>
        <v>0</v>
      </c>
      <c r="M152" s="438">
        <f t="shared" si="26"/>
        <v>0</v>
      </c>
      <c r="N152" s="438">
        <f t="shared" si="26"/>
        <v>0</v>
      </c>
      <c r="O152" s="438">
        <f t="shared" si="26"/>
        <v>0</v>
      </c>
      <c r="P152" s="438">
        <f t="shared" si="26"/>
        <v>1447832.88</v>
      </c>
      <c r="Q152" s="438">
        <f t="shared" si="26"/>
        <v>0</v>
      </c>
      <c r="R152" s="438">
        <f t="shared" si="26"/>
        <v>0</v>
      </c>
      <c r="S152" s="438">
        <f t="shared" si="26"/>
        <v>-237092.01</v>
      </c>
      <c r="T152" s="438">
        <f t="shared" si="26"/>
        <v>0</v>
      </c>
      <c r="U152" s="438">
        <f>SUM(U132:U140)</f>
        <v>-62584166.280000001</v>
      </c>
      <c r="V152" s="438">
        <f>SUM(V132:V140)</f>
        <v>0</v>
      </c>
      <c r="W152" s="438">
        <f>SUM(W132:W140)</f>
        <v>-61373425.409999996</v>
      </c>
      <c r="X152" s="438">
        <f>SUM(X132:X140)</f>
        <v>0</v>
      </c>
      <c r="Y152" s="438">
        <f>SUM(Y132:Y140)</f>
        <v>-61373425.409999996</v>
      </c>
    </row>
    <row r="153" spans="1:25" ht="27.75" customHeight="1" x14ac:dyDescent="0.2">
      <c r="A153" s="714" t="s">
        <v>1101</v>
      </c>
      <c r="B153" s="714"/>
      <c r="C153" s="714"/>
      <c r="D153" s="714"/>
      <c r="E153" s="714"/>
      <c r="F153" s="714"/>
      <c r="G153" s="300"/>
      <c r="H153" s="438">
        <f t="shared" ref="H153:T153" si="27">H131+H152</f>
        <v>1087962.3899999999</v>
      </c>
      <c r="I153" s="438">
        <f t="shared" si="27"/>
        <v>0</v>
      </c>
      <c r="J153" s="438">
        <f t="shared" si="27"/>
        <v>-1087962.3899999999</v>
      </c>
      <c r="K153" s="438">
        <f t="shared" si="27"/>
        <v>0</v>
      </c>
      <c r="L153" s="438">
        <f t="shared" si="27"/>
        <v>0</v>
      </c>
      <c r="M153" s="438">
        <f t="shared" si="27"/>
        <v>0</v>
      </c>
      <c r="N153" s="438">
        <f t="shared" si="27"/>
        <v>0</v>
      </c>
      <c r="O153" s="438">
        <f t="shared" si="27"/>
        <v>0</v>
      </c>
      <c r="P153" s="438">
        <f t="shared" si="27"/>
        <v>1447832.88</v>
      </c>
      <c r="Q153" s="438">
        <f t="shared" si="27"/>
        <v>0</v>
      </c>
      <c r="R153" s="438">
        <f t="shared" si="27"/>
        <v>0</v>
      </c>
      <c r="S153" s="438">
        <f t="shared" si="27"/>
        <v>-237092.01</v>
      </c>
      <c r="T153" s="438">
        <f t="shared" si="27"/>
        <v>0</v>
      </c>
      <c r="U153" s="438">
        <f>U131+U152</f>
        <v>-62584166.280000001</v>
      </c>
      <c r="V153" s="438">
        <f>V131+V152</f>
        <v>-47132211.170000002</v>
      </c>
      <c r="W153" s="438">
        <f>W131+W152</f>
        <v>-108505636.58</v>
      </c>
      <c r="X153" s="438">
        <f>X131+X152</f>
        <v>0</v>
      </c>
      <c r="Y153" s="438">
        <f>Y131+Y152</f>
        <v>-108505636.58</v>
      </c>
    </row>
    <row r="154" spans="1:25" ht="29.25" customHeight="1" x14ac:dyDescent="0.2">
      <c r="A154" s="714" t="s">
        <v>1102</v>
      </c>
      <c r="B154" s="714"/>
      <c r="C154" s="714"/>
      <c r="D154" s="714"/>
      <c r="E154" s="714"/>
      <c r="F154" s="714"/>
      <c r="G154" s="300"/>
      <c r="H154" s="438">
        <f t="shared" ref="H154:T154" si="28">SUM(H141:H149)</f>
        <v>0</v>
      </c>
      <c r="I154" s="438">
        <f t="shared" si="28"/>
        <v>0</v>
      </c>
      <c r="J154" s="438">
        <f t="shared" si="28"/>
        <v>0</v>
      </c>
      <c r="K154" s="438">
        <f t="shared" si="28"/>
        <v>0</v>
      </c>
      <c r="L154" s="438">
        <f t="shared" si="28"/>
        <v>0</v>
      </c>
      <c r="M154" s="438">
        <f t="shared" si="28"/>
        <v>0</v>
      </c>
      <c r="N154" s="438">
        <f t="shared" si="28"/>
        <v>0</v>
      </c>
      <c r="O154" s="438">
        <f t="shared" si="28"/>
        <v>0</v>
      </c>
      <c r="P154" s="438">
        <f t="shared" si="28"/>
        <v>0</v>
      </c>
      <c r="Q154" s="438">
        <f t="shared" si="28"/>
        <v>0</v>
      </c>
      <c r="R154" s="438">
        <f t="shared" si="28"/>
        <v>0</v>
      </c>
      <c r="S154" s="438">
        <f t="shared" si="28"/>
        <v>0</v>
      </c>
      <c r="T154" s="438">
        <f t="shared" si="28"/>
        <v>0</v>
      </c>
      <c r="U154" s="438">
        <f>SUM(U141:U149)</f>
        <v>-620892868.37</v>
      </c>
      <c r="V154" s="438">
        <f>SUM(V141:V149)</f>
        <v>0</v>
      </c>
      <c r="W154" s="438">
        <f>SUM(W141:W149)</f>
        <v>-620892868.37</v>
      </c>
      <c r="X154" s="438">
        <f>SUM(X141:X149)</f>
        <v>0</v>
      </c>
      <c r="Y154" s="438">
        <f>SUM(Y141:Y149)</f>
        <v>-620892868.37</v>
      </c>
    </row>
    <row r="157" spans="1:25" x14ac:dyDescent="0.2">
      <c r="A157" s="55" t="s">
        <v>127</v>
      </c>
      <c r="B157" s="636" t="s">
        <v>394</v>
      </c>
      <c r="C157" s="636"/>
      <c r="D157" s="636"/>
      <c r="E157" s="4" t="s">
        <v>395</v>
      </c>
      <c r="F157" s="637" t="s">
        <v>768</v>
      </c>
      <c r="G157" s="637"/>
      <c r="H157" s="636" t="e">
        <f>'RDG '!#REF!</f>
        <v>#REF!</v>
      </c>
      <c r="I157" s="636"/>
    </row>
    <row r="158" spans="1:25" x14ac:dyDescent="0.2">
      <c r="A158" s="55"/>
      <c r="B158" s="5"/>
      <c r="C158" s="5"/>
      <c r="D158" s="5"/>
      <c r="E158" s="4"/>
      <c r="F158" s="282"/>
      <c r="G158" s="282"/>
      <c r="H158" s="5"/>
      <c r="I158" s="5"/>
    </row>
    <row r="159" spans="1:25" x14ac:dyDescent="0.2">
      <c r="A159" s="2"/>
      <c r="B159" s="2"/>
      <c r="C159" s="2"/>
      <c r="D159" s="2"/>
      <c r="E159" s="2"/>
      <c r="F159" s="2"/>
      <c r="G159" s="57"/>
      <c r="H159" s="3"/>
      <c r="I159" s="3"/>
    </row>
    <row r="160" spans="1:25" ht="12.75" customHeight="1" x14ac:dyDescent="0.25">
      <c r="A160" s="638" t="s">
        <v>1015</v>
      </c>
      <c r="B160" s="638"/>
      <c r="C160" s="638"/>
      <c r="D160" s="638"/>
      <c r="E160" s="638"/>
      <c r="F160" s="638"/>
      <c r="G160" s="638"/>
      <c r="H160" s="638"/>
      <c r="I160" s="638"/>
      <c r="J160" s="638"/>
      <c r="K160" s="640"/>
    </row>
    <row r="161" spans="1:11" x14ac:dyDescent="0.2">
      <c r="A161" s="443"/>
      <c r="B161" s="443"/>
      <c r="C161" s="443"/>
      <c r="D161" s="443"/>
      <c r="E161" s="443"/>
      <c r="F161" s="443"/>
      <c r="G161" s="443"/>
      <c r="H161" s="443"/>
      <c r="I161" s="443"/>
      <c r="J161" s="443"/>
    </row>
    <row r="162" spans="1:11" x14ac:dyDescent="0.2">
      <c r="A162" s="58"/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11" ht="15" x14ac:dyDescent="0.25">
      <c r="A163" s="639" t="s">
        <v>1016</v>
      </c>
      <c r="B163" s="640"/>
      <c r="C163" s="640"/>
      <c r="D163" s="640"/>
      <c r="E163" s="640"/>
      <c r="F163" s="640"/>
      <c r="G163" s="640"/>
      <c r="H163" s="640"/>
      <c r="I163" s="640"/>
      <c r="J163" s="640"/>
      <c r="K163" s="640"/>
    </row>
  </sheetData>
  <mergeCells count="161">
    <mergeCell ref="A160:K160"/>
    <mergeCell ref="A163:K163"/>
    <mergeCell ref="B74:D74"/>
    <mergeCell ref="F74:G74"/>
    <mergeCell ref="H74:I74"/>
    <mergeCell ref="A67:F67"/>
    <mergeCell ref="A68:Y68"/>
    <mergeCell ref="A69:F69"/>
    <mergeCell ref="A70:F70"/>
    <mergeCell ref="A71:F71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30:F130"/>
    <mergeCell ref="A120:Y120"/>
    <mergeCell ref="A121:Y121"/>
    <mergeCell ref="A62:F62"/>
    <mergeCell ref="A63:F63"/>
    <mergeCell ref="A64:F64"/>
    <mergeCell ref="A65:F65"/>
    <mergeCell ref="A66:F66"/>
    <mergeCell ref="A57:F57"/>
    <mergeCell ref="A58:F58"/>
    <mergeCell ref="A59:F59"/>
    <mergeCell ref="A60:F60"/>
    <mergeCell ref="A61:F61"/>
    <mergeCell ref="A52:F52"/>
    <mergeCell ref="A53:F53"/>
    <mergeCell ref="A54:F54"/>
    <mergeCell ref="A55:F55"/>
    <mergeCell ref="A56:F56"/>
    <mergeCell ref="A47:F47"/>
    <mergeCell ref="A48:F48"/>
    <mergeCell ref="A49:F49"/>
    <mergeCell ref="A50:F50"/>
    <mergeCell ref="A51:F51"/>
    <mergeCell ref="A42:F42"/>
    <mergeCell ref="A43:Y43"/>
    <mergeCell ref="A44:F44"/>
    <mergeCell ref="A45:F45"/>
    <mergeCell ref="A46:F46"/>
    <mergeCell ref="A37:Y37"/>
    <mergeCell ref="A38:Y38"/>
    <mergeCell ref="A39:K39"/>
    <mergeCell ref="A40:F41"/>
    <mergeCell ref="G40:G41"/>
    <mergeCell ref="H40:W40"/>
    <mergeCell ref="X40:X41"/>
    <mergeCell ref="Y40:Y41"/>
    <mergeCell ref="A32:F32"/>
    <mergeCell ref="A33:Y33"/>
    <mergeCell ref="A34:F34"/>
    <mergeCell ref="A35:F35"/>
    <mergeCell ref="A36:F36"/>
    <mergeCell ref="A27:F27"/>
    <mergeCell ref="A28:F28"/>
    <mergeCell ref="A29:F29"/>
    <mergeCell ref="A30:F30"/>
    <mergeCell ref="A31:F31"/>
    <mergeCell ref="A22:F22"/>
    <mergeCell ref="A23:F23"/>
    <mergeCell ref="A24:F24"/>
    <mergeCell ref="A25:F25"/>
    <mergeCell ref="A26:F26"/>
    <mergeCell ref="A17:F17"/>
    <mergeCell ref="A18:F18"/>
    <mergeCell ref="A19:F19"/>
    <mergeCell ref="A20:F20"/>
    <mergeCell ref="A21:F21"/>
    <mergeCell ref="A12:F12"/>
    <mergeCell ref="A13:F13"/>
    <mergeCell ref="A14:F14"/>
    <mergeCell ref="A15:F15"/>
    <mergeCell ref="A16:F16"/>
    <mergeCell ref="A7:F7"/>
    <mergeCell ref="A8:Y8"/>
    <mergeCell ref="A9:F9"/>
    <mergeCell ref="A10:F10"/>
    <mergeCell ref="A11:F11"/>
    <mergeCell ref="A2:Y2"/>
    <mergeCell ref="A3:Y3"/>
    <mergeCell ref="A4:K4"/>
    <mergeCell ref="A5:F6"/>
    <mergeCell ref="G5:G6"/>
    <mergeCell ref="H5:W5"/>
    <mergeCell ref="X5:X6"/>
    <mergeCell ref="Y5:Y6"/>
    <mergeCell ref="B157:D157"/>
    <mergeCell ref="F157:G157"/>
    <mergeCell ref="H157:I157"/>
    <mergeCell ref="A154:F154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Y151"/>
    <mergeCell ref="A152:F152"/>
    <mergeCell ref="A153:F153"/>
    <mergeCell ref="A142:F142"/>
    <mergeCell ref="A128:F128"/>
    <mergeCell ref="A129:F129"/>
    <mergeCell ref="A119:F119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Y116"/>
    <mergeCell ref="A117:F117"/>
    <mergeCell ref="A118:F118"/>
    <mergeCell ref="A122:K122"/>
    <mergeCell ref="A123:F124"/>
    <mergeCell ref="G123:G124"/>
    <mergeCell ref="H123:W123"/>
    <mergeCell ref="X123:X124"/>
    <mergeCell ref="Y123:Y124"/>
    <mergeCell ref="A125:F125"/>
    <mergeCell ref="A126:Y126"/>
    <mergeCell ref="A127:F127"/>
    <mergeCell ref="A107:F107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95:F95"/>
    <mergeCell ref="A84:J84"/>
    <mergeCell ref="A85:Y85"/>
    <mergeCell ref="A86:Y86"/>
    <mergeCell ref="A87:K87"/>
    <mergeCell ref="A88:F89"/>
    <mergeCell ref="G88:G89"/>
    <mergeCell ref="H88:W88"/>
    <mergeCell ref="X88:X89"/>
    <mergeCell ref="Y88:Y89"/>
    <mergeCell ref="A90:F90"/>
    <mergeCell ref="A91:Y91"/>
    <mergeCell ref="A92:F92"/>
    <mergeCell ref="A93:F93"/>
    <mergeCell ref="A94:F94"/>
  </mergeCells>
  <dataValidations count="7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65608 E131144 E196680 E262216 E327752 E393288 E458824 E524360 E589896 E655432 E720968 E786504 E852040 E917576 E983112 G65608 G131144 G196680 G262216 G327752 G393288 G458824 G524360 G589896 G655432 G720968 G786504 G852040 G917576 G983112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620:J65620 I131156:J131156 I196692:J196692 I262228:J262228 I327764:J327764 I393300:J393300 I458836:J458836 I524372:J524372 I589908:J589908 I655444:J655444 I720980:J720980 I786516:J786516 I852052:J852052 I917588:J917588 I983124:J983124 I65627:J65628 I131163:J131164 I196699:J196700 I262235:J262236 I327771:J327772 I393307:J393308 I458843:J458844 I524379:J524380 I589915:J589916 I655451:J655452 I720987:J720988 I786523:J786524 I852059:J852060 I917595:J917596 I983131:J983132 P91:X91 P8:X8">
      <formula1>0</formula1>
    </dataValidation>
    <dataValidation type="whole" operator="notEqual" allowBlank="1" showInputMessage="1" showErrorMessage="1" errorTitle="Pogrešan unos" error="Mogu se unijeti samo cjelobrojne vrijednosti." sqref="I65611:J65619 I131147:J131155 I196683:J196691 I262219:J262227 I327755:J327763 I393291:J393299 I458827:J458835 I524363:J524371 I589899:J589907 I655435:J655443 I720971:J720979 I786507:J786515 I852043:J852051 I917579:J917587 I983115:J983123 I65621:J65626 I131157:J131162 I196693:J196698 I262229:J262234 I327765:J327770 I393301:J393306 I458837:J458842 I524373:J524378 I589909:J589914 I655445:J655450 I720981:J720986 I786517:J786522 I852053:J852058 I917589:J917594 I983125:J983130">
      <formula1>999999999999</formula1>
    </dataValidation>
    <dataValidation type="whole" operator="notEqual" allowBlank="1" showInputMessage="1" showErrorMessage="1" errorTitle="Pogrešan unos" error="Mogu se unijeti samo cjelobrojne vrijednosti." sqref="I65629:J65630 I131165:J131166 I196701:J196702 I262237:J262238 I327773:J327774 I393309:J393310 I458845:J458846 I524381:J524382 I589917:J589918 I655453:J655454 I720989:J720990 I786525:J786526 I852061:J852062 I917597:J917598 I983133:J983134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44:Y67 H34:Y36 H69:Y71 H9:Y32">
      <formula1>9999999999</formula1>
    </dataValidation>
    <dataValidation operator="notEqual" allowBlank="1" showInputMessage="1" showErrorMessage="1" errorTitle="Nedopušten upis" error="Dopušten je upis samo cjelobrojnih zaokruženih vrijednosti (pozitivnih ili negativnih) te nule." sqref="H152:Y154 H117:Y119"/>
    <dataValidation operator="notEqual" allowBlank="1" showInputMessage="1" showErrorMessage="1" errorTitle="Nedopušten upis" error="Dopušten je upis samo cjelobrojnih zaokruženih vrijednosti (pozitivnih ili negativnih) te nule." sqref="H127:Y150"/>
  </dataValidations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Header xml:space="preserve">&amp;L&amp;G&amp;R </oddHeader>
  </headerFooter>
  <rowBreaks count="1" manualBreakCount="1">
    <brk id="119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78"/>
  <sheetViews>
    <sheetView zoomScale="90" zoomScaleNormal="90" workbookViewId="0">
      <selection activeCell="AC34" sqref="AC34"/>
    </sheetView>
  </sheetViews>
  <sheetFormatPr defaultRowHeight="15" x14ac:dyDescent="0.25"/>
  <cols>
    <col min="1" max="1" width="3.7109375" style="281" customWidth="1"/>
    <col min="2" max="2" width="31.7109375" style="63" customWidth="1"/>
    <col min="3" max="3" width="1.5703125" style="63" customWidth="1"/>
    <col min="4" max="4" width="14.85546875" style="63" customWidth="1"/>
    <col min="5" max="5" width="1.7109375" style="63" customWidth="1"/>
    <col min="6" max="6" width="21.42578125" style="63" customWidth="1"/>
    <col min="7" max="7" width="1.7109375" style="63" customWidth="1"/>
    <col min="8" max="8" width="16.7109375" style="63" hidden="1" customWidth="1"/>
    <col min="9" max="10" width="16.7109375" style="63" customWidth="1"/>
    <col min="11" max="11" width="1.7109375" style="63" hidden="1" customWidth="1"/>
    <col min="12" max="12" width="14.7109375" style="314" hidden="1" customWidth="1"/>
    <col min="13" max="13" width="28.28515625" style="64" hidden="1" customWidth="1"/>
    <col min="14" max="14" width="10.85546875" style="64" hidden="1" customWidth="1"/>
    <col min="15" max="15" width="10.85546875" style="63" hidden="1" customWidth="1"/>
    <col min="16" max="16" width="11.140625" style="63" hidden="1" customWidth="1"/>
    <col min="17" max="17" width="13.28515625" style="63" hidden="1" customWidth="1"/>
    <col min="18" max="18" width="0" style="63" hidden="1" customWidth="1"/>
    <col min="19" max="19" width="13.85546875" style="63" hidden="1" customWidth="1"/>
    <col min="20" max="20" width="0" style="63" hidden="1" customWidth="1"/>
    <col min="21" max="21" width="12.28515625" style="63" hidden="1" customWidth="1"/>
    <col min="22" max="22" width="0" style="63" hidden="1" customWidth="1"/>
    <col min="23" max="23" width="15.28515625" style="63" hidden="1" customWidth="1"/>
    <col min="24" max="24" width="0" style="63" hidden="1" customWidth="1"/>
    <col min="25" max="16384" width="9.140625" style="63"/>
  </cols>
  <sheetData>
    <row r="1" spans="1:14" ht="36" customHeight="1" x14ac:dyDescent="0.35">
      <c r="A1" s="742" t="s">
        <v>301</v>
      </c>
      <c r="B1" s="743"/>
      <c r="C1" s="743"/>
      <c r="D1" s="743"/>
      <c r="E1" s="743"/>
      <c r="F1" s="743"/>
      <c r="G1" s="743"/>
      <c r="H1" s="743"/>
      <c r="I1" s="743"/>
      <c r="J1" s="743"/>
    </row>
    <row r="2" spans="1:14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L2" s="434">
        <v>7.5345000000000004</v>
      </c>
      <c r="M2" s="403" t="s">
        <v>1009</v>
      </c>
    </row>
    <row r="3" spans="1:14" ht="15" customHeight="1" thickBot="1" x14ac:dyDescent="0.3">
      <c r="A3" s="67" t="s">
        <v>170</v>
      </c>
      <c r="B3" s="68"/>
      <c r="C3" s="68"/>
      <c r="D3" s="68"/>
      <c r="E3" s="69"/>
      <c r="F3" s="69"/>
      <c r="G3" s="69"/>
      <c r="H3" s="69"/>
      <c r="I3" s="69"/>
      <c r="J3" s="69"/>
      <c r="L3" s="435">
        <v>7.5316239999999999</v>
      </c>
      <c r="M3" s="403" t="s">
        <v>1010</v>
      </c>
    </row>
    <row r="4" spans="1:14" ht="21" customHeight="1" thickTop="1" x14ac:dyDescent="0.25">
      <c r="A4" s="70"/>
      <c r="B4" s="71"/>
      <c r="C4" s="72"/>
      <c r="D4" s="73"/>
      <c r="E4" s="73"/>
      <c r="F4" s="73"/>
      <c r="G4" s="73"/>
      <c r="H4" s="73"/>
      <c r="I4" s="73"/>
      <c r="J4" s="73"/>
      <c r="K4" s="73"/>
      <c r="L4" s="315"/>
    </row>
    <row r="5" spans="1:14" s="76" customFormat="1" ht="20.25" customHeight="1" x14ac:dyDescent="0.25">
      <c r="A5" s="74" t="s">
        <v>433</v>
      </c>
      <c r="B5" s="731" t="s">
        <v>899</v>
      </c>
      <c r="C5" s="731"/>
      <c r="D5" s="731"/>
      <c r="E5" s="731"/>
      <c r="F5" s="75"/>
      <c r="G5" s="75"/>
      <c r="L5" s="316"/>
      <c r="M5" s="77"/>
      <c r="N5" s="77"/>
    </row>
    <row r="6" spans="1:14" s="76" customFormat="1" ht="15.75" customHeight="1" thickBot="1" x14ac:dyDescent="0.3">
      <c r="A6" s="74"/>
      <c r="B6" s="74"/>
      <c r="C6" s="74"/>
      <c r="D6" s="74"/>
      <c r="E6" s="74"/>
      <c r="F6" s="75"/>
      <c r="G6" s="75"/>
      <c r="H6" s="22" t="s">
        <v>171</v>
      </c>
      <c r="I6" s="22"/>
      <c r="J6" s="22" t="s">
        <v>1005</v>
      </c>
      <c r="L6" s="316"/>
      <c r="M6" s="77"/>
      <c r="N6" s="77"/>
    </row>
    <row r="7" spans="1:14" ht="31.5" customHeight="1" thickTop="1" thickBot="1" x14ac:dyDescent="0.3">
      <c r="A7" s="79" t="s">
        <v>266</v>
      </c>
      <c r="B7" s="80" t="s">
        <v>265</v>
      </c>
      <c r="C7" s="81"/>
      <c r="D7" s="81"/>
      <c r="E7" s="81"/>
      <c r="F7" s="81"/>
      <c r="G7" s="81"/>
      <c r="H7" s="82" t="s">
        <v>911</v>
      </c>
      <c r="I7" s="82" t="s">
        <v>911</v>
      </c>
      <c r="J7" s="82" t="s">
        <v>1011</v>
      </c>
      <c r="M7" s="75"/>
      <c r="N7" s="75"/>
    </row>
    <row r="8" spans="1:14" ht="15" customHeight="1" thickTop="1" x14ac:dyDescent="0.25">
      <c r="A8" s="84">
        <v>1</v>
      </c>
      <c r="B8" s="85" t="s">
        <v>311</v>
      </c>
      <c r="C8" s="86"/>
      <c r="D8" s="86"/>
      <c r="E8" s="86"/>
      <c r="F8" s="86"/>
      <c r="G8" s="86"/>
      <c r="H8" s="87">
        <v>4595565745</v>
      </c>
      <c r="I8" s="451">
        <f>+ROUND((H8/L3),2)</f>
        <v>610169300.13999999</v>
      </c>
      <c r="J8" s="451">
        <v>686647685.63</v>
      </c>
      <c r="L8" s="317" t="s">
        <v>312</v>
      </c>
      <c r="M8" s="75"/>
      <c r="N8" s="75"/>
    </row>
    <row r="9" spans="1:14" ht="15" customHeight="1" x14ac:dyDescent="0.25">
      <c r="A9" s="88">
        <v>2</v>
      </c>
      <c r="B9" s="89" t="s">
        <v>313</v>
      </c>
      <c r="C9" s="90"/>
      <c r="D9" s="90"/>
      <c r="E9" s="90"/>
      <c r="F9" s="90"/>
      <c r="G9" s="90"/>
      <c r="H9" s="75">
        <v>28732748</v>
      </c>
      <c r="I9" s="196">
        <f t="shared" ref="I9:I15" si="0">+ROUND((H9/$L$3),2)</f>
        <v>3814947.21</v>
      </c>
      <c r="J9" s="196">
        <v>2171604</v>
      </c>
      <c r="L9" s="317" t="s">
        <v>314</v>
      </c>
      <c r="M9" s="75"/>
      <c r="N9" s="75"/>
    </row>
    <row r="10" spans="1:14" ht="15" customHeight="1" x14ac:dyDescent="0.25">
      <c r="A10" s="88">
        <v>3</v>
      </c>
      <c r="B10" s="89" t="s">
        <v>315</v>
      </c>
      <c r="C10" s="90"/>
      <c r="D10" s="90"/>
      <c r="E10" s="90"/>
      <c r="F10" s="90"/>
      <c r="G10" s="90"/>
      <c r="H10" s="75">
        <v>849439585</v>
      </c>
      <c r="I10" s="196">
        <f t="shared" si="0"/>
        <v>112783057.81</v>
      </c>
      <c r="J10" s="196">
        <v>80719081.180000007</v>
      </c>
      <c r="L10" s="317" t="s">
        <v>316</v>
      </c>
      <c r="M10" s="75"/>
      <c r="N10" s="75"/>
    </row>
    <row r="11" spans="1:14" ht="15" customHeight="1" x14ac:dyDescent="0.25">
      <c r="A11" s="88">
        <v>4</v>
      </c>
      <c r="B11" s="89" t="s">
        <v>317</v>
      </c>
      <c r="C11" s="90"/>
      <c r="D11" s="90"/>
      <c r="E11" s="90"/>
      <c r="F11" s="90"/>
      <c r="G11" s="90"/>
      <c r="H11" s="102">
        <v>291555288</v>
      </c>
      <c r="I11" s="196">
        <f t="shared" si="0"/>
        <v>38710812.969999999</v>
      </c>
      <c r="J11" s="453">
        <v>2019473.35</v>
      </c>
      <c r="L11" s="317" t="s">
        <v>318</v>
      </c>
      <c r="M11" s="75"/>
      <c r="N11" s="75"/>
    </row>
    <row r="12" spans="1:14" ht="15" customHeight="1" x14ac:dyDescent="0.25">
      <c r="A12" s="88">
        <v>5</v>
      </c>
      <c r="B12" s="89" t="s">
        <v>319</v>
      </c>
      <c r="C12" s="90"/>
      <c r="D12" s="90"/>
      <c r="E12" s="90"/>
      <c r="F12" s="90"/>
      <c r="G12" s="90"/>
      <c r="H12" s="75">
        <v>1152286700</v>
      </c>
      <c r="I12" s="196">
        <f t="shared" si="0"/>
        <v>152993126.05000001</v>
      </c>
      <c r="J12" s="196">
        <v>303269917.42000002</v>
      </c>
      <c r="L12" s="318" t="s">
        <v>320</v>
      </c>
      <c r="M12" s="75"/>
      <c r="N12" s="75"/>
    </row>
    <row r="13" spans="1:14" ht="15" customHeight="1" x14ac:dyDescent="0.25">
      <c r="A13" s="88">
        <v>6</v>
      </c>
      <c r="B13" s="89" t="s">
        <v>321</v>
      </c>
      <c r="C13" s="90"/>
      <c r="D13" s="90"/>
      <c r="E13" s="90"/>
      <c r="F13" s="90"/>
      <c r="G13" s="90"/>
      <c r="H13" s="75">
        <v>767966749</v>
      </c>
      <c r="I13" s="196">
        <f t="shared" si="0"/>
        <v>101965625.08</v>
      </c>
      <c r="J13" s="196">
        <v>255805754.44</v>
      </c>
      <c r="L13" s="318" t="s">
        <v>322</v>
      </c>
      <c r="M13" s="75"/>
      <c r="N13" s="75"/>
    </row>
    <row r="14" spans="1:14" ht="15" customHeight="1" x14ac:dyDescent="0.25">
      <c r="A14" s="88">
        <v>7</v>
      </c>
      <c r="B14" s="89" t="s">
        <v>323</v>
      </c>
      <c r="C14" s="90"/>
      <c r="D14" s="90"/>
      <c r="E14" s="90"/>
      <c r="F14" s="90"/>
      <c r="G14" s="90"/>
      <c r="H14" s="75">
        <v>345428</v>
      </c>
      <c r="I14" s="196">
        <f t="shared" si="0"/>
        <v>45863.68</v>
      </c>
      <c r="J14" s="196">
        <v>53630.54</v>
      </c>
      <c r="K14" s="73"/>
      <c r="L14" s="318" t="s">
        <v>324</v>
      </c>
      <c r="M14" s="90"/>
      <c r="N14" s="90"/>
    </row>
    <row r="15" spans="1:14" ht="17.25" customHeight="1" thickBot="1" x14ac:dyDescent="0.3">
      <c r="A15" s="91">
        <v>8</v>
      </c>
      <c r="B15" s="92" t="s">
        <v>325</v>
      </c>
      <c r="C15" s="93"/>
      <c r="D15" s="93"/>
      <c r="E15" s="93"/>
      <c r="F15" s="93"/>
      <c r="G15" s="93"/>
      <c r="H15" s="94">
        <f>1017369762-767966749-24770403-467561-1530734+1770</f>
        <v>222636085</v>
      </c>
      <c r="I15" s="196">
        <f t="shared" si="0"/>
        <v>29560169.890000001</v>
      </c>
      <c r="J15" s="452">
        <f>276331896.64-J13-1152999.33-522499.67+316.7</f>
        <v>18850959.899999987</v>
      </c>
      <c r="K15" s="73"/>
      <c r="L15" s="741" t="s">
        <v>937</v>
      </c>
      <c r="M15" s="734"/>
      <c r="N15" s="90"/>
    </row>
    <row r="16" spans="1:14" ht="18" customHeight="1" thickTop="1" thickBot="1" x14ac:dyDescent="0.3">
      <c r="A16" s="95"/>
      <c r="B16" s="95" t="s">
        <v>326</v>
      </c>
      <c r="C16" s="95"/>
      <c r="D16" s="95"/>
      <c r="E16" s="95"/>
      <c r="F16" s="95"/>
      <c r="G16" s="96"/>
      <c r="H16" s="96">
        <f>SUM(H8:H15)</f>
        <v>7908528328</v>
      </c>
      <c r="I16" s="454">
        <f>SUM(I8:I15)</f>
        <v>1050042902.83</v>
      </c>
      <c r="J16" s="454">
        <f>SUM(J8:J15)</f>
        <v>1349538106.46</v>
      </c>
      <c r="K16" s="73"/>
      <c r="L16" s="455">
        <f>J16-'RDG '!L6</f>
        <v>0</v>
      </c>
      <c r="M16" s="90"/>
      <c r="N16" s="90"/>
    </row>
    <row r="17" spans="1:14" ht="18" customHeight="1" thickTop="1" x14ac:dyDescent="0.25">
      <c r="A17" s="65"/>
      <c r="B17" s="97"/>
      <c r="C17" s="97"/>
      <c r="D17" s="97"/>
      <c r="E17" s="97"/>
      <c r="F17" s="75"/>
      <c r="G17" s="75"/>
      <c r="H17" s="98"/>
      <c r="I17" s="98"/>
      <c r="J17" s="98"/>
      <c r="K17" s="73"/>
      <c r="L17" s="455">
        <f>H16/L3</f>
        <v>1050042902.8321117</v>
      </c>
      <c r="M17" s="90"/>
      <c r="N17" s="90"/>
    </row>
    <row r="18" spans="1:14" ht="19.5" customHeight="1" x14ac:dyDescent="0.25">
      <c r="A18" s="99" t="s">
        <v>435</v>
      </c>
      <c r="B18" s="99" t="s">
        <v>898</v>
      </c>
      <c r="C18" s="99"/>
      <c r="D18" s="99"/>
      <c r="E18" s="97"/>
      <c r="F18" s="75"/>
      <c r="G18" s="75"/>
      <c r="K18" s="73"/>
      <c r="M18" s="90"/>
      <c r="N18" s="90"/>
    </row>
    <row r="19" spans="1:14" ht="15.75" customHeight="1" thickBot="1" x14ac:dyDescent="0.3">
      <c r="A19" s="99"/>
      <c r="B19" s="99"/>
      <c r="C19" s="99"/>
      <c r="D19" s="99"/>
      <c r="E19" s="97"/>
      <c r="F19" s="75"/>
      <c r="G19" s="75"/>
      <c r="H19" s="22" t="s">
        <v>171</v>
      </c>
      <c r="I19" s="22"/>
      <c r="J19" s="22" t="s">
        <v>1005</v>
      </c>
      <c r="K19" s="73"/>
      <c r="M19" s="90"/>
      <c r="N19" s="90"/>
    </row>
    <row r="20" spans="1:14" ht="31.5" customHeight="1" thickTop="1" thickBot="1" x14ac:dyDescent="0.3">
      <c r="A20" s="79" t="s">
        <v>266</v>
      </c>
      <c r="B20" s="80" t="s">
        <v>265</v>
      </c>
      <c r="C20" s="81"/>
      <c r="D20" s="81"/>
      <c r="E20" s="81"/>
      <c r="F20" s="81"/>
      <c r="G20" s="81"/>
      <c r="H20" s="82" t="str">
        <f>H7</f>
        <v>2022.</v>
      </c>
      <c r="I20" s="82" t="str">
        <f>I7</f>
        <v>2022.</v>
      </c>
      <c r="J20" s="82" t="str">
        <f>J7</f>
        <v>2023.</v>
      </c>
      <c r="K20" s="73"/>
      <c r="M20" s="90"/>
      <c r="N20" s="90"/>
    </row>
    <row r="21" spans="1:14" ht="15" customHeight="1" thickTop="1" x14ac:dyDescent="0.25">
      <c r="A21" s="84">
        <v>1</v>
      </c>
      <c r="B21" s="85" t="s">
        <v>436</v>
      </c>
      <c r="C21" s="86"/>
      <c r="D21" s="86"/>
      <c r="E21" s="86"/>
      <c r="F21" s="86"/>
      <c r="G21" s="86"/>
      <c r="H21" s="87">
        <f>7123025207-9166623-4486502</f>
        <v>7109372082</v>
      </c>
      <c r="I21" s="451">
        <f>+ROUND((H21/L3),2)</f>
        <v>943936139.39999998</v>
      </c>
      <c r="J21" s="451">
        <f>1368344267.01-1410401.05-575002.14</f>
        <v>1366358863.8199999</v>
      </c>
      <c r="K21" s="73"/>
      <c r="L21" s="320" t="s">
        <v>831</v>
      </c>
      <c r="M21" s="90"/>
      <c r="N21" s="90"/>
    </row>
    <row r="22" spans="1:14" ht="15" customHeight="1" x14ac:dyDescent="0.25">
      <c r="A22" s="88">
        <v>2</v>
      </c>
      <c r="B22" s="89" t="s">
        <v>327</v>
      </c>
      <c r="C22" s="90"/>
      <c r="D22" s="90"/>
      <c r="E22" s="90"/>
      <c r="F22" s="90"/>
      <c r="G22" s="90"/>
      <c r="H22" s="75">
        <v>138136835</v>
      </c>
      <c r="I22" s="196">
        <f>+ROUND((H22/$L$3),2)</f>
        <v>18340909.609999999</v>
      </c>
      <c r="J22" s="196">
        <v>24374914.960000001</v>
      </c>
      <c r="K22" s="73"/>
      <c r="L22" s="320" t="s">
        <v>328</v>
      </c>
      <c r="M22" s="90"/>
      <c r="N22" s="90"/>
    </row>
    <row r="23" spans="1:14" s="76" customFormat="1" ht="15" customHeight="1" x14ac:dyDescent="0.25">
      <c r="A23" s="88">
        <v>3</v>
      </c>
      <c r="B23" s="89" t="s">
        <v>329</v>
      </c>
      <c r="C23" s="90"/>
      <c r="D23" s="90"/>
      <c r="E23" s="90"/>
      <c r="F23" s="90"/>
      <c r="G23" s="90"/>
      <c r="H23" s="75">
        <f>787118926+294880</f>
        <v>787413806</v>
      </c>
      <c r="I23" s="196">
        <f>+ROUND((H23/$L$3),2)</f>
        <v>104547678.69</v>
      </c>
      <c r="J23" s="196">
        <v>106528068.26000001</v>
      </c>
      <c r="K23" s="100"/>
      <c r="L23" s="320" t="s">
        <v>938</v>
      </c>
      <c r="M23" s="101"/>
      <c r="N23" s="101"/>
    </row>
    <row r="24" spans="1:14" s="76" customFormat="1" ht="15" customHeight="1" x14ac:dyDescent="0.25">
      <c r="A24" s="88">
        <v>4</v>
      </c>
      <c r="B24" s="361" t="s">
        <v>947</v>
      </c>
      <c r="C24" s="90"/>
      <c r="D24" s="90"/>
      <c r="E24" s="90"/>
      <c r="F24" s="90"/>
      <c r="G24" s="90"/>
      <c r="H24" s="75">
        <v>3362622</v>
      </c>
      <c r="I24" s="196">
        <f>+ROUND((H24/$L$3),2)</f>
        <v>446467.06</v>
      </c>
      <c r="J24" s="196">
        <v>753326.07999999996</v>
      </c>
      <c r="L24" s="320" t="s">
        <v>939</v>
      </c>
      <c r="M24" s="102"/>
      <c r="N24" s="102"/>
    </row>
    <row r="25" spans="1:14" s="76" customFormat="1" ht="15" hidden="1" customHeight="1" x14ac:dyDescent="0.25">
      <c r="A25" s="88">
        <v>5</v>
      </c>
      <c r="B25" s="89" t="s">
        <v>330</v>
      </c>
      <c r="C25" s="90"/>
      <c r="D25" s="90"/>
      <c r="E25" s="90"/>
      <c r="F25" s="90"/>
      <c r="G25" s="90"/>
      <c r="H25" s="75"/>
      <c r="I25" s="196"/>
      <c r="J25" s="196"/>
      <c r="L25" s="320" t="s">
        <v>331</v>
      </c>
      <c r="M25" s="102"/>
      <c r="N25" s="102"/>
    </row>
    <row r="26" spans="1:14" s="76" customFormat="1" ht="15" customHeight="1" x14ac:dyDescent="0.25">
      <c r="A26" s="88">
        <v>5</v>
      </c>
      <c r="B26" s="89" t="s">
        <v>332</v>
      </c>
      <c r="C26" s="90"/>
      <c r="D26" s="90"/>
      <c r="E26" s="90"/>
      <c r="F26" s="90"/>
      <c r="G26" s="90"/>
      <c r="H26" s="75">
        <f>17295296+18675781</f>
        <v>35971077</v>
      </c>
      <c r="I26" s="196">
        <f>+ROUND((H26/$L$3),2)</f>
        <v>4776005.41</v>
      </c>
      <c r="J26" s="196">
        <f>686574.57+7156359.86</f>
        <v>7842934.4300000006</v>
      </c>
      <c r="L26" s="320" t="s">
        <v>940</v>
      </c>
      <c r="M26" s="102"/>
      <c r="N26" s="102"/>
    </row>
    <row r="27" spans="1:14" s="76" customFormat="1" ht="15" customHeight="1" x14ac:dyDescent="0.25">
      <c r="A27" s="88">
        <v>6</v>
      </c>
      <c r="B27" s="747" t="s">
        <v>832</v>
      </c>
      <c r="C27" s="720"/>
      <c r="D27" s="720"/>
      <c r="E27" s="720"/>
      <c r="F27" s="720"/>
      <c r="G27" s="90"/>
      <c r="H27" s="75"/>
      <c r="I27" s="196"/>
      <c r="J27" s="196">
        <v>16083971.460000001</v>
      </c>
      <c r="L27" s="320" t="s">
        <v>1047</v>
      </c>
      <c r="M27" s="102"/>
      <c r="N27" s="102"/>
    </row>
    <row r="28" spans="1:14" s="76" customFormat="1" ht="15" customHeight="1" x14ac:dyDescent="0.25">
      <c r="A28" s="88">
        <v>7</v>
      </c>
      <c r="B28" s="361" t="s">
        <v>943</v>
      </c>
      <c r="C28" s="371"/>
      <c r="D28" s="371"/>
      <c r="E28" s="344"/>
      <c r="F28" s="344"/>
      <c r="G28" s="90"/>
      <c r="H28" s="75">
        <f>15774661+94788142</f>
        <v>110562803</v>
      </c>
      <c r="I28" s="196">
        <f t="shared" ref="I28:I35" si="1">+ROUND((H28/$L$3),2)</f>
        <v>14679809.16</v>
      </c>
      <c r="J28" s="196">
        <f>12531180.27+43288788.3</f>
        <v>55819968.569999993</v>
      </c>
      <c r="L28" s="320" t="s">
        <v>949</v>
      </c>
      <c r="M28" s="102"/>
      <c r="N28" s="102"/>
    </row>
    <row r="29" spans="1:14" s="76" customFormat="1" ht="15" customHeight="1" x14ac:dyDescent="0.25">
      <c r="A29" s="88">
        <v>8</v>
      </c>
      <c r="B29" s="89" t="s">
        <v>333</v>
      </c>
      <c r="C29" s="90"/>
      <c r="D29" s="90"/>
      <c r="E29" s="90"/>
      <c r="F29" s="90"/>
      <c r="G29" s="90"/>
      <c r="H29" s="75">
        <f>1208994017+22171767</f>
        <v>1231165784</v>
      </c>
      <c r="I29" s="196">
        <f t="shared" si="1"/>
        <v>163466177.28</v>
      </c>
      <c r="J29" s="196">
        <f>310998152+3748040.35</f>
        <v>314746192.35000002</v>
      </c>
      <c r="L29" s="362" t="s">
        <v>944</v>
      </c>
      <c r="M29" s="102"/>
      <c r="N29" s="102"/>
    </row>
    <row r="30" spans="1:14" s="76" customFormat="1" ht="15" customHeight="1" x14ac:dyDescent="0.25">
      <c r="A30" s="88">
        <v>9</v>
      </c>
      <c r="B30" s="89" t="s">
        <v>334</v>
      </c>
      <c r="C30" s="90"/>
      <c r="D30" s="90"/>
      <c r="E30" s="90"/>
      <c r="F30" s="90"/>
      <c r="G30" s="90"/>
      <c r="H30" s="75">
        <v>41035002</v>
      </c>
      <c r="I30" s="196">
        <f t="shared" si="1"/>
        <v>5448360.4100000001</v>
      </c>
      <c r="J30" s="196">
        <v>5593787.8300000001</v>
      </c>
      <c r="L30" s="320" t="s">
        <v>335</v>
      </c>
      <c r="M30" s="102"/>
      <c r="N30" s="102"/>
    </row>
    <row r="31" spans="1:14" s="76" customFormat="1" ht="15" customHeight="1" x14ac:dyDescent="0.25">
      <c r="A31" s="88">
        <v>10</v>
      </c>
      <c r="B31" s="361" t="s">
        <v>946</v>
      </c>
      <c r="C31" s="90"/>
      <c r="D31" s="90"/>
      <c r="E31" s="90"/>
      <c r="F31" s="90"/>
      <c r="G31" s="90"/>
      <c r="H31" s="75">
        <f>14493930+16716375</f>
        <v>31210305</v>
      </c>
      <c r="I31" s="196">
        <f t="shared" si="1"/>
        <v>4143901.1</v>
      </c>
      <c r="J31" s="196">
        <f>5322.4+27210</f>
        <v>32532.400000000001</v>
      </c>
      <c r="L31" s="362" t="s">
        <v>945</v>
      </c>
      <c r="M31" s="102"/>
      <c r="N31" s="102"/>
    </row>
    <row r="32" spans="1:14" s="76" customFormat="1" ht="15" customHeight="1" x14ac:dyDescent="0.25">
      <c r="A32" s="88">
        <v>11</v>
      </c>
      <c r="B32" s="370" t="s">
        <v>336</v>
      </c>
      <c r="C32" s="90"/>
      <c r="D32" s="90"/>
      <c r="E32" s="90"/>
      <c r="F32" s="90"/>
      <c r="G32" s="90"/>
      <c r="H32" s="75">
        <f>4690674+20433</f>
        <v>4711107</v>
      </c>
      <c r="I32" s="196">
        <f t="shared" si="1"/>
        <v>625510.12</v>
      </c>
      <c r="J32" s="196">
        <v>19266523.260000002</v>
      </c>
      <c r="L32" s="320" t="s">
        <v>830</v>
      </c>
      <c r="M32" s="102"/>
      <c r="N32" s="102"/>
    </row>
    <row r="33" spans="1:18" s="76" customFormat="1" ht="15" customHeight="1" x14ac:dyDescent="0.25">
      <c r="A33" s="88">
        <v>12</v>
      </c>
      <c r="B33" s="361" t="s">
        <v>942</v>
      </c>
      <c r="C33" s="90"/>
      <c r="D33" s="90"/>
      <c r="E33" s="90"/>
      <c r="F33" s="90"/>
      <c r="G33" s="90"/>
      <c r="H33" s="75">
        <f>40829100+3042228</f>
        <v>43871328</v>
      </c>
      <c r="I33" s="196">
        <f t="shared" si="1"/>
        <v>5824949.3099999996</v>
      </c>
      <c r="J33" s="196">
        <f>4905138.67+913469.42</f>
        <v>5818608.0899999999</v>
      </c>
      <c r="L33" s="320" t="s">
        <v>941</v>
      </c>
      <c r="M33" s="102"/>
      <c r="N33" s="102"/>
    </row>
    <row r="34" spans="1:18" s="76" customFormat="1" ht="15" customHeight="1" x14ac:dyDescent="0.25">
      <c r="A34" s="88">
        <v>13</v>
      </c>
      <c r="B34" s="89" t="s">
        <v>337</v>
      </c>
      <c r="C34" s="90"/>
      <c r="D34" s="90"/>
      <c r="E34" s="90"/>
      <c r="F34" s="90"/>
      <c r="G34" s="90"/>
      <c r="H34" s="75">
        <v>4017867</v>
      </c>
      <c r="I34" s="196">
        <f t="shared" si="1"/>
        <v>533466.22</v>
      </c>
      <c r="J34" s="196">
        <f>3585039.48+3607.77</f>
        <v>3588647.25</v>
      </c>
      <c r="L34" s="320" t="s">
        <v>338</v>
      </c>
      <c r="M34" s="102"/>
      <c r="N34" s="102"/>
    </row>
    <row r="35" spans="1:18" ht="15" customHeight="1" x14ac:dyDescent="0.25">
      <c r="A35" s="88">
        <v>14</v>
      </c>
      <c r="B35" s="89" t="s">
        <v>339</v>
      </c>
      <c r="C35" s="90"/>
      <c r="D35" s="90"/>
      <c r="E35" s="90"/>
      <c r="F35" s="90"/>
      <c r="G35" s="90"/>
      <c r="H35" s="102">
        <f>20848122-215370</f>
        <v>20632752</v>
      </c>
      <c r="I35" s="196">
        <f t="shared" si="1"/>
        <v>2739482.48</v>
      </c>
      <c r="J35" s="453">
        <f>3330328.03-21417.9</f>
        <v>3308910.13</v>
      </c>
      <c r="K35" s="103"/>
      <c r="L35" s="320" t="s">
        <v>340</v>
      </c>
      <c r="M35" s="75"/>
      <c r="N35" s="75"/>
    </row>
    <row r="36" spans="1:18" ht="15" customHeight="1" x14ac:dyDescent="0.25">
      <c r="A36" s="88">
        <v>15</v>
      </c>
      <c r="B36" s="89" t="s">
        <v>341</v>
      </c>
      <c r="C36" s="90"/>
      <c r="D36" s="90"/>
      <c r="E36" s="90"/>
      <c r="F36" s="90"/>
      <c r="G36" s="90"/>
      <c r="H36" s="75"/>
      <c r="I36" s="196"/>
      <c r="J36" s="196">
        <v>11562.83</v>
      </c>
      <c r="K36" s="103"/>
      <c r="L36" s="320" t="s">
        <v>342</v>
      </c>
      <c r="M36" s="75"/>
      <c r="N36" s="75"/>
    </row>
    <row r="37" spans="1:18" ht="15" customHeight="1" x14ac:dyDescent="0.25">
      <c r="A37" s="88">
        <v>16</v>
      </c>
      <c r="B37" s="753" t="s">
        <v>1048</v>
      </c>
      <c r="C37" s="754"/>
      <c r="D37" s="754"/>
      <c r="E37" s="754"/>
      <c r="F37" s="754"/>
      <c r="G37" s="90"/>
      <c r="H37" s="75"/>
      <c r="I37" s="196"/>
      <c r="J37" s="196">
        <v>1230753.1000000001</v>
      </c>
      <c r="K37" s="103"/>
      <c r="L37" s="550" t="s">
        <v>1049</v>
      </c>
      <c r="M37" s="75"/>
      <c r="N37" s="75"/>
    </row>
    <row r="38" spans="1:18" ht="15" customHeight="1" thickBot="1" x14ac:dyDescent="0.25">
      <c r="A38" s="91">
        <v>17</v>
      </c>
      <c r="B38" s="92" t="s">
        <v>310</v>
      </c>
      <c r="C38" s="93"/>
      <c r="D38" s="93"/>
      <c r="E38" s="93"/>
      <c r="F38" s="93"/>
      <c r="G38" s="93"/>
      <c r="H38" s="94">
        <f>1690+205397</f>
        <v>207087</v>
      </c>
      <c r="I38" s="196">
        <f>+ROUND((H38/$L$3),2)+0.01</f>
        <v>27495.67</v>
      </c>
      <c r="J38" s="452">
        <f>224.28+41399.6+42398.42+10089.2</f>
        <v>94111.499999999985</v>
      </c>
      <c r="L38" s="362" t="s">
        <v>1050</v>
      </c>
      <c r="M38" s="308"/>
      <c r="N38" s="507" t="s">
        <v>1018</v>
      </c>
    </row>
    <row r="39" spans="1:18" ht="18" customHeight="1" thickTop="1" thickBot="1" x14ac:dyDescent="0.3">
      <c r="A39" s="95"/>
      <c r="B39" s="95" t="s">
        <v>948</v>
      </c>
      <c r="C39" s="95"/>
      <c r="D39" s="95"/>
      <c r="E39" s="95"/>
      <c r="F39" s="95"/>
      <c r="G39" s="96"/>
      <c r="H39" s="96">
        <f>SUM(H21:H38)</f>
        <v>9561670457</v>
      </c>
      <c r="I39" s="454">
        <f>SUM(I21:I38)</f>
        <v>1269536351.9199998</v>
      </c>
      <c r="J39" s="454">
        <f>SUM(J21:J38)</f>
        <v>1931453676.3199997</v>
      </c>
      <c r="K39" s="103"/>
      <c r="L39" s="455">
        <f>J39-'RDG '!L7</f>
        <v>0</v>
      </c>
      <c r="M39" s="75"/>
      <c r="N39" s="75"/>
    </row>
    <row r="40" spans="1:18" ht="18" customHeight="1" thickTop="1" x14ac:dyDescent="0.25">
      <c r="A40" s="104"/>
      <c r="B40" s="76"/>
      <c r="C40" s="76"/>
      <c r="D40" s="76"/>
      <c r="E40" s="76"/>
      <c r="F40" s="102"/>
      <c r="G40" s="102"/>
      <c r="H40" s="102"/>
      <c r="I40" s="102"/>
      <c r="J40" s="102"/>
      <c r="K40" s="103"/>
      <c r="L40" s="455">
        <f>H39/L3</f>
        <v>1269536351.9209137</v>
      </c>
      <c r="M40" s="75"/>
      <c r="N40" s="75"/>
    </row>
    <row r="41" spans="1:18" ht="21" customHeight="1" x14ac:dyDescent="0.25">
      <c r="A41" s="99" t="s">
        <v>438</v>
      </c>
      <c r="B41" s="99" t="s">
        <v>439</v>
      </c>
      <c r="C41" s="99"/>
      <c r="D41" s="97"/>
      <c r="E41" s="97"/>
      <c r="F41" s="97"/>
      <c r="G41" s="102"/>
      <c r="M41" s="105"/>
      <c r="N41" s="105"/>
    </row>
    <row r="42" spans="1:18" ht="15.75" customHeight="1" thickBot="1" x14ac:dyDescent="0.3">
      <c r="A42" s="99"/>
      <c r="B42" s="99"/>
      <c r="C42" s="99"/>
      <c r="D42" s="97"/>
      <c r="E42" s="97"/>
      <c r="F42" s="97"/>
      <c r="G42" s="102"/>
      <c r="H42" s="22" t="s">
        <v>171</v>
      </c>
      <c r="I42" s="22"/>
      <c r="J42" s="22" t="s">
        <v>1005</v>
      </c>
      <c r="M42" s="105"/>
      <c r="N42" s="105"/>
    </row>
    <row r="43" spans="1:18" ht="31.5" customHeight="1" thickTop="1" thickBot="1" x14ac:dyDescent="0.3">
      <c r="A43" s="79" t="s">
        <v>266</v>
      </c>
      <c r="B43" s="80" t="s">
        <v>265</v>
      </c>
      <c r="C43" s="81"/>
      <c r="D43" s="81"/>
      <c r="E43" s="81"/>
      <c r="F43" s="81"/>
      <c r="G43" s="81"/>
      <c r="H43" s="82" t="str">
        <f>H7</f>
        <v>2022.</v>
      </c>
      <c r="I43" s="82" t="str">
        <f>I7</f>
        <v>2022.</v>
      </c>
      <c r="J43" s="82" t="str">
        <f>J7</f>
        <v>2023.</v>
      </c>
      <c r="K43" s="103"/>
      <c r="L43" s="755" t="s">
        <v>1025</v>
      </c>
      <c r="M43" s="756"/>
      <c r="N43" s="756"/>
      <c r="O43" s="527"/>
      <c r="P43" s="527"/>
      <c r="Q43" s="527"/>
      <c r="R43" s="527"/>
    </row>
    <row r="44" spans="1:18" ht="15" customHeight="1" thickTop="1" x14ac:dyDescent="0.25">
      <c r="A44" s="84">
        <v>1</v>
      </c>
      <c r="B44" s="85" t="s">
        <v>343</v>
      </c>
      <c r="C44" s="86"/>
      <c r="D44" s="86"/>
      <c r="E44" s="86"/>
      <c r="F44" s="86"/>
      <c r="G44" s="86"/>
      <c r="H44" s="87">
        <v>196606625</v>
      </c>
      <c r="I44" s="196">
        <f>+ROUND((H44/$L$3),2)</f>
        <v>26104147.66</v>
      </c>
      <c r="J44" s="451">
        <v>30385031.670000002</v>
      </c>
      <c r="K44" s="107"/>
      <c r="L44" s="320" t="s">
        <v>344</v>
      </c>
      <c r="M44" s="75"/>
      <c r="N44" s="75"/>
    </row>
    <row r="45" spans="1:18" ht="15" customHeight="1" x14ac:dyDescent="0.25">
      <c r="A45" s="88">
        <v>2</v>
      </c>
      <c r="B45" s="108" t="s">
        <v>345</v>
      </c>
      <c r="C45" s="90"/>
      <c r="D45" s="90"/>
      <c r="E45" s="90"/>
      <c r="F45" s="90"/>
      <c r="G45" s="90"/>
      <c r="H45" s="75">
        <v>17203109</v>
      </c>
      <c r="I45" s="196">
        <f>+ROUND((H45/$L$3),2)</f>
        <v>2284116.81</v>
      </c>
      <c r="J45" s="196">
        <v>2594705</v>
      </c>
      <c r="K45" s="97"/>
      <c r="L45" s="320" t="s">
        <v>346</v>
      </c>
      <c r="M45" s="75"/>
      <c r="N45" s="109"/>
    </row>
    <row r="46" spans="1:18" ht="15" customHeight="1" x14ac:dyDescent="0.25">
      <c r="A46" s="88">
        <v>3</v>
      </c>
      <c r="B46" s="370" t="s">
        <v>440</v>
      </c>
      <c r="C46" s="90"/>
      <c r="D46" s="90"/>
      <c r="E46" s="90"/>
      <c r="F46" s="90"/>
      <c r="G46" s="90"/>
      <c r="H46" s="75">
        <f>24770403-20965542</f>
        <v>3804861</v>
      </c>
      <c r="I46" s="196">
        <f>+ROUND((H46/$L$3),2)</f>
        <v>505184.67</v>
      </c>
      <c r="J46" s="196">
        <f>1152999.33-380386.94</f>
        <v>772612.39000000013</v>
      </c>
      <c r="L46" s="320" t="s">
        <v>960</v>
      </c>
      <c r="M46" s="75"/>
      <c r="N46" s="109"/>
    </row>
    <row r="47" spans="1:18" ht="15" customHeight="1" thickBot="1" x14ac:dyDescent="0.3">
      <c r="A47" s="347">
        <v>4</v>
      </c>
      <c r="B47" s="374" t="s">
        <v>951</v>
      </c>
      <c r="C47" s="93"/>
      <c r="D47" s="93"/>
      <c r="E47" s="93"/>
      <c r="F47" s="93"/>
      <c r="G47" s="93"/>
      <c r="H47" s="94">
        <f>467561+1530734</f>
        <v>1998295</v>
      </c>
      <c r="I47" s="196">
        <f>+ROUND((H47/$L$3),2)</f>
        <v>265320.59999999998</v>
      </c>
      <c r="J47" s="452">
        <v>522499.67</v>
      </c>
      <c r="L47" s="320" t="s">
        <v>950</v>
      </c>
      <c r="M47" s="75"/>
      <c r="N47" s="109"/>
    </row>
    <row r="48" spans="1:18" ht="18" customHeight="1" thickTop="1" thickBot="1" x14ac:dyDescent="0.3">
      <c r="A48" s="95"/>
      <c r="B48" s="110" t="s">
        <v>305</v>
      </c>
      <c r="C48" s="95"/>
      <c r="D48" s="95"/>
      <c r="E48" s="95"/>
      <c r="F48" s="95"/>
      <c r="G48" s="96"/>
      <c r="H48" s="96">
        <f>SUM(H44:H47)</f>
        <v>219612890</v>
      </c>
      <c r="I48" s="454">
        <f>SUM(I44:I47)</f>
        <v>29158769.740000002</v>
      </c>
      <c r="J48" s="454">
        <f>SUM(J44:J47)</f>
        <v>34274848.730000004</v>
      </c>
      <c r="L48" s="455">
        <f>J48-'RDG '!L9</f>
        <v>0</v>
      </c>
      <c r="M48" s="75"/>
      <c r="N48" s="109"/>
    </row>
    <row r="49" spans="1:18" ht="18" customHeight="1" thickTop="1" x14ac:dyDescent="0.25">
      <c r="A49" s="100"/>
      <c r="B49" s="111"/>
      <c r="C49" s="100"/>
      <c r="D49" s="100"/>
      <c r="E49" s="100"/>
      <c r="F49" s="100"/>
      <c r="G49" s="112"/>
      <c r="H49" s="112"/>
      <c r="I49" s="112"/>
      <c r="J49" s="112"/>
      <c r="L49" s="455">
        <f>H48/L3</f>
        <v>29158769.742090154</v>
      </c>
      <c r="M49" s="75"/>
      <c r="N49" s="109"/>
    </row>
    <row r="50" spans="1:18" ht="20.25" customHeight="1" x14ac:dyDescent="0.25">
      <c r="A50" s="74" t="s">
        <v>441</v>
      </c>
      <c r="B50" s="74" t="s">
        <v>897</v>
      </c>
      <c r="C50" s="113"/>
      <c r="D50" s="113"/>
      <c r="E50" s="113"/>
      <c r="F50" s="75"/>
      <c r="G50" s="75"/>
      <c r="M50" s="75"/>
      <c r="N50" s="75"/>
    </row>
    <row r="51" spans="1:18" ht="15.75" customHeight="1" thickBot="1" x14ac:dyDescent="0.3">
      <c r="A51" s="74"/>
      <c r="B51" s="74"/>
      <c r="C51" s="113"/>
      <c r="D51" s="113"/>
      <c r="E51" s="113"/>
      <c r="F51" s="75"/>
      <c r="G51" s="75"/>
      <c r="H51" s="22" t="s">
        <v>171</v>
      </c>
      <c r="I51" s="22"/>
      <c r="J51" s="22" t="s">
        <v>1005</v>
      </c>
      <c r="M51" s="75"/>
      <c r="N51" s="75"/>
    </row>
    <row r="52" spans="1:18" ht="31.5" customHeight="1" thickTop="1" thickBot="1" x14ac:dyDescent="0.3">
      <c r="A52" s="79" t="s">
        <v>266</v>
      </c>
      <c r="B52" s="80" t="s">
        <v>265</v>
      </c>
      <c r="C52" s="81"/>
      <c r="D52" s="81"/>
      <c r="E52" s="81"/>
      <c r="F52" s="81"/>
      <c r="G52" s="81"/>
      <c r="H52" s="82" t="str">
        <f>H7</f>
        <v>2022.</v>
      </c>
      <c r="I52" s="82" t="str">
        <f>I7</f>
        <v>2022.</v>
      </c>
      <c r="J52" s="82" t="str">
        <f>J7</f>
        <v>2023.</v>
      </c>
      <c r="L52" s="755" t="s">
        <v>1027</v>
      </c>
      <c r="M52" s="756"/>
      <c r="N52" s="756"/>
      <c r="O52" s="527"/>
      <c r="P52" s="527"/>
      <c r="Q52" s="527"/>
      <c r="R52" s="527"/>
    </row>
    <row r="53" spans="1:18" ht="15" customHeight="1" thickTop="1" x14ac:dyDescent="0.25">
      <c r="A53" s="84">
        <v>1</v>
      </c>
      <c r="B53" s="85" t="s">
        <v>350</v>
      </c>
      <c r="C53" s="86"/>
      <c r="D53" s="86"/>
      <c r="E53" s="86"/>
      <c r="F53" s="86"/>
      <c r="G53" s="86"/>
      <c r="H53" s="114">
        <f>2284529-145950</f>
        <v>2138579</v>
      </c>
      <c r="I53" s="196">
        <f t="shared" ref="I53:I59" si="2">+ROUND((H53/$L$3),2)</f>
        <v>283946.59999999998</v>
      </c>
      <c r="J53" s="456">
        <f>106565.93-24239.34</f>
        <v>82326.59</v>
      </c>
      <c r="K53" s="115"/>
      <c r="L53" s="320" t="s">
        <v>836</v>
      </c>
      <c r="M53" s="75"/>
      <c r="N53" s="116"/>
    </row>
    <row r="54" spans="1:18" ht="15" customHeight="1" x14ac:dyDescent="0.25">
      <c r="A54" s="88">
        <v>2</v>
      </c>
      <c r="B54" s="89" t="s">
        <v>351</v>
      </c>
      <c r="C54" s="90"/>
      <c r="D54" s="90"/>
      <c r="E54" s="90"/>
      <c r="F54" s="90"/>
      <c r="G54" s="90"/>
      <c r="H54" s="102">
        <v>1245031</v>
      </c>
      <c r="I54" s="196">
        <f t="shared" si="2"/>
        <v>165307.10999999999</v>
      </c>
      <c r="J54" s="453">
        <v>114827.39</v>
      </c>
      <c r="K54" s="115"/>
      <c r="L54" s="320" t="s">
        <v>352</v>
      </c>
      <c r="M54" s="75"/>
      <c r="N54" s="117"/>
    </row>
    <row r="55" spans="1:18" ht="15" customHeight="1" x14ac:dyDescent="0.25">
      <c r="A55" s="88">
        <v>3</v>
      </c>
      <c r="B55" s="108" t="s">
        <v>442</v>
      </c>
      <c r="C55" s="90"/>
      <c r="D55" s="90"/>
      <c r="E55" s="90"/>
      <c r="F55" s="90"/>
      <c r="G55" s="90"/>
      <c r="H55" s="102">
        <v>4399258</v>
      </c>
      <c r="I55" s="196">
        <f t="shared" si="2"/>
        <v>584104.84</v>
      </c>
      <c r="J55" s="453">
        <v>209391.93</v>
      </c>
      <c r="K55" s="115"/>
      <c r="L55" s="320" t="s">
        <v>349</v>
      </c>
      <c r="M55" s="102"/>
      <c r="N55" s="118"/>
    </row>
    <row r="56" spans="1:18" ht="15" customHeight="1" x14ac:dyDescent="0.25">
      <c r="A56" s="88">
        <v>4</v>
      </c>
      <c r="B56" s="89" t="s">
        <v>443</v>
      </c>
      <c r="C56" s="90"/>
      <c r="D56" s="90"/>
      <c r="E56" s="90"/>
      <c r="F56" s="90"/>
      <c r="G56" s="90"/>
      <c r="H56" s="102">
        <v>219227</v>
      </c>
      <c r="I56" s="196">
        <f t="shared" si="2"/>
        <v>29107.53</v>
      </c>
      <c r="J56" s="453">
        <v>113418.09</v>
      </c>
      <c r="K56" s="120"/>
      <c r="L56" s="320" t="s">
        <v>952</v>
      </c>
      <c r="M56" s="102"/>
      <c r="N56" s="118"/>
    </row>
    <row r="57" spans="1:18" ht="15" customHeight="1" x14ac:dyDescent="0.25">
      <c r="A57" s="88">
        <v>5</v>
      </c>
      <c r="B57" s="89" t="s">
        <v>353</v>
      </c>
      <c r="C57" s="90"/>
      <c r="D57" s="90"/>
      <c r="E57" s="90"/>
      <c r="F57" s="90"/>
      <c r="G57" s="90"/>
      <c r="H57" s="102">
        <v>785221</v>
      </c>
      <c r="I57" s="196">
        <f t="shared" si="2"/>
        <v>104256.53</v>
      </c>
      <c r="J57" s="453">
        <f>350299.52+64470.81</f>
        <v>414770.33</v>
      </c>
      <c r="K57" s="115"/>
      <c r="L57" s="320" t="s">
        <v>354</v>
      </c>
      <c r="M57" s="119"/>
      <c r="N57" s="118"/>
    </row>
    <row r="58" spans="1:18" ht="15" customHeight="1" x14ac:dyDescent="0.25">
      <c r="A58" s="88">
        <v>6</v>
      </c>
      <c r="B58" s="108" t="s">
        <v>347</v>
      </c>
      <c r="C58" s="90"/>
      <c r="D58" s="90"/>
      <c r="E58" s="90"/>
      <c r="F58" s="90"/>
      <c r="G58" s="90"/>
      <c r="H58" s="102">
        <v>9037835</v>
      </c>
      <c r="I58" s="196">
        <f t="shared" si="2"/>
        <v>1199984.8899999999</v>
      </c>
      <c r="J58" s="453">
        <v>1744275.92</v>
      </c>
      <c r="K58" s="115"/>
      <c r="L58" s="320" t="s">
        <v>348</v>
      </c>
      <c r="M58" s="102"/>
      <c r="N58" s="118"/>
    </row>
    <row r="59" spans="1:18" ht="15" customHeight="1" x14ac:dyDescent="0.25">
      <c r="A59" s="88">
        <v>7</v>
      </c>
      <c r="B59" s="89" t="s">
        <v>444</v>
      </c>
      <c r="C59" s="90"/>
      <c r="D59" s="90"/>
      <c r="E59" s="90"/>
      <c r="F59" s="90"/>
      <c r="G59" s="90"/>
      <c r="H59" s="102">
        <v>990298</v>
      </c>
      <c r="I59" s="196">
        <f t="shared" si="2"/>
        <v>131485.32</v>
      </c>
      <c r="J59" s="453">
        <v>693600.32</v>
      </c>
      <c r="K59" s="115"/>
      <c r="L59" s="320" t="s">
        <v>1108</v>
      </c>
      <c r="M59" s="119"/>
      <c r="N59" s="118"/>
    </row>
    <row r="60" spans="1:18" ht="28.5" customHeight="1" x14ac:dyDescent="0.25">
      <c r="A60" s="375">
        <v>8</v>
      </c>
      <c r="B60" s="752" t="s">
        <v>1125</v>
      </c>
      <c r="C60" s="723"/>
      <c r="D60" s="723"/>
      <c r="E60" s="723"/>
      <c r="F60" s="723"/>
      <c r="G60" s="90"/>
      <c r="H60" s="102"/>
      <c r="I60" s="196"/>
      <c r="J60" s="453">
        <v>76322154</v>
      </c>
      <c r="K60" s="115"/>
      <c r="L60" s="607" t="s">
        <v>1109</v>
      </c>
      <c r="M60" s="119"/>
      <c r="N60" s="118"/>
    </row>
    <row r="61" spans="1:18" ht="15" customHeight="1" x14ac:dyDescent="0.25">
      <c r="A61" s="88">
        <v>9</v>
      </c>
      <c r="B61" s="552" t="s">
        <v>1051</v>
      </c>
      <c r="C61" s="90"/>
      <c r="D61" s="90"/>
      <c r="E61" s="90"/>
      <c r="F61" s="90"/>
      <c r="G61" s="90"/>
      <c r="H61" s="102"/>
      <c r="I61" s="196"/>
      <c r="J61" s="453">
        <v>143959.43</v>
      </c>
      <c r="K61" s="115"/>
      <c r="L61" s="550" t="s">
        <v>1052</v>
      </c>
      <c r="M61" s="119"/>
      <c r="N61" s="118"/>
    </row>
    <row r="62" spans="1:18" ht="14.25" customHeight="1" x14ac:dyDescent="0.25">
      <c r="A62" s="88">
        <v>10</v>
      </c>
      <c r="B62" s="89" t="s">
        <v>445</v>
      </c>
      <c r="C62" s="90"/>
      <c r="D62" s="90"/>
      <c r="E62" s="90"/>
      <c r="F62" s="90"/>
      <c r="G62" s="90"/>
      <c r="H62" s="102"/>
      <c r="I62" s="196">
        <f>+ROUND((H62/$L$3),2)</f>
        <v>0</v>
      </c>
      <c r="J62" s="453">
        <v>13790.78</v>
      </c>
      <c r="K62" s="121"/>
      <c r="L62" s="318">
        <v>759025</v>
      </c>
      <c r="M62" s="119"/>
      <c r="N62" s="122"/>
    </row>
    <row r="63" spans="1:18" ht="15" hidden="1" customHeight="1" x14ac:dyDescent="0.25">
      <c r="A63" s="88">
        <v>9</v>
      </c>
      <c r="B63" s="89" t="s">
        <v>446</v>
      </c>
      <c r="C63" s="90"/>
      <c r="D63" s="90"/>
      <c r="E63" s="90"/>
      <c r="F63" s="90"/>
      <c r="G63" s="90"/>
      <c r="H63" s="102"/>
      <c r="I63" s="196">
        <f>+ROUND((H63/$L$3),2)</f>
        <v>0</v>
      </c>
      <c r="J63" s="453"/>
      <c r="K63" s="76"/>
      <c r="L63" s="318"/>
      <c r="M63" s="119"/>
      <c r="N63" s="123"/>
    </row>
    <row r="64" spans="1:18" ht="15" hidden="1" customHeight="1" x14ac:dyDescent="0.25">
      <c r="A64" s="88"/>
      <c r="B64" s="559" t="s">
        <v>1054</v>
      </c>
      <c r="C64" s="560"/>
      <c r="D64" s="560"/>
      <c r="E64" s="560"/>
      <c r="F64" s="560"/>
      <c r="G64" s="90"/>
      <c r="H64" s="102"/>
      <c r="I64" s="196"/>
      <c r="J64" s="453"/>
      <c r="K64" s="76"/>
      <c r="L64" s="548">
        <v>7590028</v>
      </c>
      <c r="M64" s="119"/>
      <c r="N64" s="123"/>
    </row>
    <row r="65" spans="1:14" ht="15" hidden="1" customHeight="1" x14ac:dyDescent="0.25">
      <c r="A65" s="88"/>
      <c r="B65" s="559" t="s">
        <v>1055</v>
      </c>
      <c r="C65" s="560"/>
      <c r="D65" s="560"/>
      <c r="E65" s="560"/>
      <c r="F65" s="560"/>
      <c r="G65" s="90"/>
      <c r="H65" s="102"/>
      <c r="I65" s="196"/>
      <c r="J65" s="453"/>
      <c r="K65" s="76"/>
      <c r="L65" s="548">
        <v>7590029</v>
      </c>
      <c r="M65" s="119"/>
      <c r="N65" s="123"/>
    </row>
    <row r="66" spans="1:14" ht="15" hidden="1" customHeight="1" x14ac:dyDescent="0.25">
      <c r="A66" s="88"/>
      <c r="B66" s="559"/>
      <c r="C66" s="560"/>
      <c r="D66" s="560"/>
      <c r="E66" s="560"/>
      <c r="F66" s="560"/>
      <c r="G66" s="90"/>
      <c r="H66" s="102"/>
      <c r="I66" s="196"/>
      <c r="J66" s="453"/>
      <c r="K66" s="76"/>
      <c r="L66" s="548"/>
      <c r="M66" s="119"/>
      <c r="N66" s="123"/>
    </row>
    <row r="67" spans="1:14" ht="15" customHeight="1" x14ac:dyDescent="0.25">
      <c r="A67" s="88">
        <v>11</v>
      </c>
      <c r="B67" s="89" t="s">
        <v>447</v>
      </c>
      <c r="C67" s="90"/>
      <c r="D67" s="90"/>
      <c r="E67" s="90"/>
      <c r="F67" s="90"/>
      <c r="G67" s="90"/>
      <c r="H67" s="102">
        <v>5109805</v>
      </c>
      <c r="I67" s="196">
        <f>+ROUND((H67/$L$3),2)</f>
        <v>678446.64</v>
      </c>
      <c r="J67" s="453">
        <f>43968.3+550160.14</f>
        <v>594128.44000000006</v>
      </c>
      <c r="K67" s="76"/>
      <c r="L67" s="318">
        <v>75907</v>
      </c>
      <c r="M67" s="119"/>
      <c r="N67" s="123"/>
    </row>
    <row r="68" spans="1:14" ht="15" customHeight="1" x14ac:dyDescent="0.25">
      <c r="A68" s="88">
        <v>12</v>
      </c>
      <c r="B68" s="89" t="s">
        <v>448</v>
      </c>
      <c r="C68" s="90"/>
      <c r="D68" s="90"/>
      <c r="E68" s="90"/>
      <c r="F68" s="90"/>
      <c r="G68" s="90"/>
      <c r="H68" s="102">
        <v>14898782</v>
      </c>
      <c r="I68" s="196">
        <f>+ROUND((H68/$L$3),2)</f>
        <v>1978163.28</v>
      </c>
      <c r="J68" s="453">
        <v>787332.32</v>
      </c>
      <c r="K68" s="76"/>
      <c r="L68" s="314">
        <v>75909</v>
      </c>
      <c r="M68" s="119"/>
      <c r="N68" s="123"/>
    </row>
    <row r="69" spans="1:14" ht="15" customHeight="1" x14ac:dyDescent="0.25">
      <c r="A69" s="88">
        <v>13</v>
      </c>
      <c r="B69" s="370" t="s">
        <v>355</v>
      </c>
      <c r="C69" s="90"/>
      <c r="D69" s="90"/>
      <c r="E69" s="90"/>
      <c r="F69" s="90"/>
      <c r="G69" s="90"/>
      <c r="H69" s="102">
        <v>1639263</v>
      </c>
      <c r="I69" s="196">
        <f>+ROUND((H69/$L$3),2)</f>
        <v>217650.67</v>
      </c>
      <c r="J69" s="453">
        <v>214569.92</v>
      </c>
      <c r="K69" s="76"/>
      <c r="L69" s="314">
        <v>75913305</v>
      </c>
      <c r="M69" s="119"/>
      <c r="N69" s="119"/>
    </row>
    <row r="70" spans="1:14" ht="15" customHeight="1" x14ac:dyDescent="0.25">
      <c r="A70" s="88">
        <v>14</v>
      </c>
      <c r="B70" s="576" t="s">
        <v>954</v>
      </c>
      <c r="C70" s="90"/>
      <c r="D70" s="90"/>
      <c r="E70" s="90"/>
      <c r="F70" s="90"/>
      <c r="G70" s="90"/>
      <c r="H70" s="102">
        <v>28046735</v>
      </c>
      <c r="I70" s="196">
        <f>+ROUND((H70/$L$3),2)</f>
        <v>3723862.87</v>
      </c>
      <c r="J70" s="453"/>
      <c r="K70" s="76"/>
      <c r="L70" s="314">
        <v>785</v>
      </c>
      <c r="M70" s="119"/>
      <c r="N70" s="119"/>
    </row>
    <row r="71" spans="1:14" ht="15" customHeight="1" x14ac:dyDescent="0.25">
      <c r="A71" s="587">
        <v>15</v>
      </c>
      <c r="B71" s="592" t="s">
        <v>1053</v>
      </c>
      <c r="C71" s="588"/>
      <c r="D71" s="588"/>
      <c r="E71" s="588"/>
      <c r="F71" s="588"/>
      <c r="G71" s="90"/>
      <c r="H71" s="102">
        <v>3374632</v>
      </c>
      <c r="I71" s="196">
        <f>+ROUND((H71/$L$3),2)</f>
        <v>448061.67</v>
      </c>
      <c r="J71" s="453">
        <v>14207421.27</v>
      </c>
      <c r="K71" s="76"/>
      <c r="L71" s="549" t="s">
        <v>1067</v>
      </c>
      <c r="M71" s="119"/>
      <c r="N71" s="119"/>
    </row>
    <row r="72" spans="1:14" ht="15" customHeight="1" x14ac:dyDescent="0.25">
      <c r="A72" s="587">
        <v>16</v>
      </c>
      <c r="B72" s="592" t="s">
        <v>1082</v>
      </c>
      <c r="C72" s="588"/>
      <c r="D72" s="588"/>
      <c r="E72" s="588"/>
      <c r="F72" s="588"/>
      <c r="G72" s="90"/>
      <c r="H72" s="102"/>
      <c r="I72" s="196"/>
      <c r="J72" s="453">
        <v>66487454.049999997</v>
      </c>
      <c r="K72" s="76"/>
      <c r="L72" s="569">
        <v>75900290</v>
      </c>
      <c r="M72" s="119"/>
      <c r="N72" s="119"/>
    </row>
    <row r="73" spans="1:14" ht="27.75" customHeight="1" x14ac:dyDescent="0.25">
      <c r="A73" s="615">
        <v>17</v>
      </c>
      <c r="B73" s="721" t="s">
        <v>1081</v>
      </c>
      <c r="C73" s="722"/>
      <c r="D73" s="722"/>
      <c r="E73" s="723"/>
      <c r="F73" s="723"/>
      <c r="G73" s="723"/>
      <c r="H73" s="102"/>
      <c r="I73" s="196"/>
      <c r="J73" s="453">
        <f>288951341.82-151746773.93</f>
        <v>137204567.88999999</v>
      </c>
      <c r="K73" s="76"/>
      <c r="L73" s="741" t="s">
        <v>1080</v>
      </c>
      <c r="M73" s="734"/>
      <c r="N73" s="119"/>
    </row>
    <row r="74" spans="1:14" ht="12.75" customHeight="1" x14ac:dyDescent="0.25">
      <c r="A74" s="587">
        <v>18</v>
      </c>
      <c r="B74" s="576" t="s">
        <v>1083</v>
      </c>
      <c r="C74" s="593"/>
      <c r="D74" s="593"/>
      <c r="E74" s="594"/>
      <c r="F74" s="594"/>
      <c r="G74" s="594"/>
      <c r="H74" s="102"/>
      <c r="I74" s="196"/>
      <c r="J74" s="453">
        <v>2175078.85</v>
      </c>
      <c r="K74" s="76"/>
      <c r="L74" s="569">
        <v>78200000</v>
      </c>
      <c r="M74" s="567"/>
      <c r="N74" s="119"/>
    </row>
    <row r="75" spans="1:14" ht="15" customHeight="1" thickBot="1" x14ac:dyDescent="0.25">
      <c r="A75" s="91">
        <v>19</v>
      </c>
      <c r="B75" s="92" t="s">
        <v>310</v>
      </c>
      <c r="C75" s="93"/>
      <c r="D75" s="93"/>
      <c r="E75" s="93"/>
      <c r="F75" s="93"/>
      <c r="G75" s="93"/>
      <c r="H75" s="307">
        <f>1345077+542126+91329+440172+18462+8705961-3374632</f>
        <v>7768495</v>
      </c>
      <c r="I75" s="196">
        <f>+ROUND((H75/$L$3),2)-0.01</f>
        <v>1031450.1799999999</v>
      </c>
      <c r="J75" s="457">
        <f>221277.88+29551.14+14423064.6+107727.99+200234.55+80558.12-14207421.27</f>
        <v>854993.00999999978</v>
      </c>
      <c r="K75" s="76"/>
      <c r="L75" s="741" t="s">
        <v>1066</v>
      </c>
      <c r="M75" s="734"/>
      <c r="N75" s="507" t="s">
        <v>1019</v>
      </c>
    </row>
    <row r="76" spans="1:14" ht="17.100000000000001" customHeight="1" thickTop="1" thickBot="1" x14ac:dyDescent="0.3">
      <c r="A76" s="95"/>
      <c r="B76" s="110" t="s">
        <v>1110</v>
      </c>
      <c r="C76" s="95"/>
      <c r="D76" s="95"/>
      <c r="E76" s="95"/>
      <c r="F76" s="95"/>
      <c r="G76" s="96"/>
      <c r="H76" s="96">
        <f>SUM(H53:H75)</f>
        <v>79653161</v>
      </c>
      <c r="I76" s="454">
        <f>SUM(I53:I75)</f>
        <v>10575828.130000001</v>
      </c>
      <c r="J76" s="454">
        <f>SUM(J53:J75)</f>
        <v>302378060.52999997</v>
      </c>
      <c r="K76" s="97"/>
      <c r="L76" s="489">
        <f>J76-'RDG '!L10</f>
        <v>0</v>
      </c>
      <c r="M76" s="119"/>
      <c r="N76" s="119"/>
    </row>
    <row r="77" spans="1:14" ht="18" customHeight="1" thickTop="1" x14ac:dyDescent="0.25">
      <c r="A77" s="65"/>
      <c r="B77" s="111"/>
      <c r="C77" s="97"/>
      <c r="D77" s="97"/>
      <c r="E77" s="97"/>
      <c r="F77" s="125"/>
      <c r="G77" s="83"/>
      <c r="H77" s="101"/>
      <c r="I77" s="101"/>
      <c r="J77" s="101"/>
      <c r="K77" s="76"/>
      <c r="L77" s="455">
        <f>H76/L3</f>
        <v>10575828.134808641</v>
      </c>
      <c r="M77" s="119"/>
      <c r="N77" s="119"/>
    </row>
    <row r="78" spans="1:14" ht="21" customHeight="1" x14ac:dyDescent="0.25">
      <c r="A78" s="74" t="s">
        <v>449</v>
      </c>
      <c r="B78" s="74" t="s">
        <v>450</v>
      </c>
      <c r="C78" s="97"/>
      <c r="D78" s="97"/>
      <c r="E78" s="97"/>
      <c r="F78" s="75"/>
      <c r="G78" s="75"/>
      <c r="H78" s="64"/>
      <c r="I78" s="64"/>
      <c r="J78" s="64"/>
      <c r="K78" s="97"/>
      <c r="L78" s="317"/>
      <c r="M78" s="119"/>
      <c r="N78" s="119"/>
    </row>
    <row r="79" spans="1:14" ht="12.75" customHeight="1" thickBot="1" x14ac:dyDescent="0.3">
      <c r="A79" s="74"/>
      <c r="B79" s="74"/>
      <c r="C79" s="97"/>
      <c r="D79" s="97"/>
      <c r="E79" s="97"/>
      <c r="F79" s="75"/>
      <c r="G79" s="75"/>
      <c r="H79" s="22" t="s">
        <v>171</v>
      </c>
      <c r="I79" s="22"/>
      <c r="J79" s="22" t="s">
        <v>1005</v>
      </c>
      <c r="K79" s="97"/>
      <c r="L79" s="318"/>
    </row>
    <row r="80" spans="1:14" ht="31.5" customHeight="1" thickTop="1" thickBot="1" x14ac:dyDescent="0.3">
      <c r="A80" s="79" t="s">
        <v>266</v>
      </c>
      <c r="B80" s="80" t="s">
        <v>265</v>
      </c>
      <c r="C80" s="81"/>
      <c r="D80" s="81"/>
      <c r="E80" s="81"/>
      <c r="F80" s="81"/>
      <c r="G80" s="81"/>
      <c r="H80" s="82" t="str">
        <f>H7</f>
        <v>2022.</v>
      </c>
      <c r="I80" s="82" t="str">
        <f>I7</f>
        <v>2022.</v>
      </c>
      <c r="J80" s="82" t="str">
        <f>J7</f>
        <v>2023.</v>
      </c>
      <c r="K80" s="97"/>
      <c r="L80" s="318"/>
    </row>
    <row r="81" spans="1:14" ht="15" customHeight="1" thickTop="1" x14ac:dyDescent="0.25">
      <c r="A81" s="84">
        <v>1</v>
      </c>
      <c r="B81" s="750" t="s">
        <v>356</v>
      </c>
      <c r="C81" s="751"/>
      <c r="D81" s="751"/>
      <c r="E81" s="86"/>
      <c r="F81" s="86"/>
      <c r="G81" s="86"/>
      <c r="H81" s="87">
        <f>10630888908-58127327</f>
        <v>10572761581</v>
      </c>
      <c r="I81" s="196">
        <f>+ROUND((H81/$L$3),2)</f>
        <v>1403782448.6500001</v>
      </c>
      <c r="J81" s="451">
        <f>1263636331.67-91302444.83</f>
        <v>1172333886.8400002</v>
      </c>
      <c r="K81" s="97"/>
      <c r="L81" s="320" t="s">
        <v>955</v>
      </c>
      <c r="N81" s="116"/>
    </row>
    <row r="82" spans="1:14" ht="15" customHeight="1" x14ac:dyDescent="0.25">
      <c r="A82" s="88">
        <v>2</v>
      </c>
      <c r="B82" s="752" t="s">
        <v>357</v>
      </c>
      <c r="C82" s="747"/>
      <c r="D82" s="747"/>
      <c r="E82" s="90"/>
      <c r="F82" s="90"/>
      <c r="G82" s="90"/>
      <c r="H82" s="75">
        <f>77537557+9865567833+392911789+494065860</f>
        <v>10830083039</v>
      </c>
      <c r="I82" s="196">
        <f>+ROUND((H82/$L$3),2)</f>
        <v>1437947916.54</v>
      </c>
      <c r="J82" s="196">
        <f>19905016.38+1518646897.08+53389372.18+18965113.28</f>
        <v>1610906398.9200001</v>
      </c>
      <c r="K82" s="107"/>
      <c r="L82" s="320" t="s">
        <v>358</v>
      </c>
      <c r="N82" s="116"/>
    </row>
    <row r="83" spans="1:14" ht="15" customHeight="1" thickBot="1" x14ac:dyDescent="0.3">
      <c r="A83" s="88">
        <v>3</v>
      </c>
      <c r="B83" s="126" t="s">
        <v>359</v>
      </c>
      <c r="C83" s="127"/>
      <c r="D83" s="127"/>
      <c r="E83" s="90"/>
      <c r="F83" s="90"/>
      <c r="G83" s="90"/>
      <c r="H83" s="75">
        <v>58127327</v>
      </c>
      <c r="I83" s="196">
        <f>+ROUND((H83/$L$3),2)</f>
        <v>7717768.04</v>
      </c>
      <c r="J83" s="196">
        <v>91302444.829999998</v>
      </c>
      <c r="K83" s="97"/>
      <c r="L83" s="320" t="s">
        <v>451</v>
      </c>
      <c r="N83" s="116"/>
    </row>
    <row r="84" spans="1:14" ht="14.45" customHeight="1" thickTop="1" thickBot="1" x14ac:dyDescent="0.3">
      <c r="A84" s="95"/>
      <c r="B84" s="110" t="s">
        <v>270</v>
      </c>
      <c r="C84" s="110"/>
      <c r="D84" s="110"/>
      <c r="E84" s="95"/>
      <c r="F84" s="95"/>
      <c r="G84" s="96"/>
      <c r="H84" s="96">
        <f>SUM(H81:H83)</f>
        <v>21460971947</v>
      </c>
      <c r="I84" s="454">
        <f>SUM(I81:I83)</f>
        <v>2849448133.23</v>
      </c>
      <c r="J84" s="454">
        <f>SUM(J81:J83)</f>
        <v>2874542730.5900002</v>
      </c>
      <c r="K84" s="97"/>
      <c r="L84" s="489">
        <f>J84-'RDG '!L14</f>
        <v>0</v>
      </c>
    </row>
    <row r="85" spans="1:14" ht="18" customHeight="1" thickTop="1" x14ac:dyDescent="0.25">
      <c r="A85" s="65"/>
      <c r="B85" s="111"/>
      <c r="C85" s="97"/>
      <c r="D85" s="97"/>
      <c r="E85" s="97"/>
      <c r="F85" s="75"/>
      <c r="G85" s="75"/>
      <c r="H85" s="98"/>
      <c r="I85" s="98"/>
      <c r="J85" s="98"/>
      <c r="K85" s="97"/>
      <c r="L85" s="460">
        <f>H84/L3</f>
        <v>2849448133.2312927</v>
      </c>
    </row>
    <row r="86" spans="1:14" ht="21" customHeight="1" x14ac:dyDescent="0.25">
      <c r="A86" s="74" t="s">
        <v>452</v>
      </c>
      <c r="B86" s="74" t="s">
        <v>453</v>
      </c>
      <c r="C86" s="97"/>
      <c r="D86" s="97"/>
      <c r="E86" s="97"/>
      <c r="F86" s="75"/>
      <c r="G86" s="75"/>
      <c r="K86" s="97"/>
      <c r="L86" s="318"/>
    </row>
    <row r="87" spans="1:14" ht="12.75" customHeight="1" thickBot="1" x14ac:dyDescent="0.3">
      <c r="A87" s="74"/>
      <c r="B87" s="74"/>
      <c r="C87" s="97"/>
      <c r="D87" s="97"/>
      <c r="E87" s="97"/>
      <c r="F87" s="75"/>
      <c r="G87" s="75"/>
      <c r="H87" s="22" t="s">
        <v>171</v>
      </c>
      <c r="I87" s="22"/>
      <c r="J87" s="22" t="s">
        <v>1005</v>
      </c>
      <c r="K87" s="97"/>
      <c r="L87" s="318"/>
    </row>
    <row r="88" spans="1:14" ht="31.5" customHeight="1" thickTop="1" thickBot="1" x14ac:dyDescent="0.3">
      <c r="A88" s="79" t="s">
        <v>266</v>
      </c>
      <c r="B88" s="80" t="s">
        <v>265</v>
      </c>
      <c r="C88" s="81"/>
      <c r="D88" s="81"/>
      <c r="E88" s="81"/>
      <c r="F88" s="81"/>
      <c r="G88" s="81"/>
      <c r="H88" s="82" t="str">
        <f>H7</f>
        <v>2022.</v>
      </c>
      <c r="I88" s="82" t="str">
        <f>I7</f>
        <v>2022.</v>
      </c>
      <c r="J88" s="82" t="str">
        <f>J7</f>
        <v>2023.</v>
      </c>
      <c r="K88" s="97"/>
      <c r="L88" s="755" t="s">
        <v>1069</v>
      </c>
      <c r="M88" s="756"/>
      <c r="N88" s="756"/>
    </row>
    <row r="89" spans="1:14" ht="15" hidden="1" customHeight="1" thickTop="1" x14ac:dyDescent="0.25">
      <c r="A89" s="84">
        <v>1</v>
      </c>
      <c r="B89" s="85" t="s">
        <v>360</v>
      </c>
      <c r="C89" s="129"/>
      <c r="D89" s="129"/>
      <c r="E89" s="86"/>
      <c r="F89" s="86"/>
      <c r="G89" s="86"/>
      <c r="H89" s="114"/>
      <c r="I89" s="114"/>
      <c r="J89" s="456"/>
      <c r="K89" s="97"/>
      <c r="L89" s="776" t="s">
        <v>454</v>
      </c>
      <c r="M89" s="734"/>
    </row>
    <row r="90" spans="1:14" ht="15" hidden="1" customHeight="1" x14ac:dyDescent="0.25">
      <c r="A90" s="88">
        <v>2</v>
      </c>
      <c r="B90" s="89" t="s">
        <v>361</v>
      </c>
      <c r="C90" s="97"/>
      <c r="D90" s="97"/>
      <c r="E90" s="90"/>
      <c r="F90" s="90"/>
      <c r="G90" s="90"/>
      <c r="H90" s="102"/>
      <c r="I90" s="102"/>
      <c r="J90" s="453"/>
      <c r="K90" s="97"/>
      <c r="L90" s="318">
        <v>71004000</v>
      </c>
    </row>
    <row r="91" spans="1:14" ht="15" customHeight="1" thickTop="1" x14ac:dyDescent="0.25">
      <c r="A91" s="88">
        <v>1</v>
      </c>
      <c r="B91" s="747" t="s">
        <v>834</v>
      </c>
      <c r="C91" s="747"/>
      <c r="D91" s="747"/>
      <c r="E91" s="747"/>
      <c r="F91" s="747"/>
      <c r="G91" s="90"/>
      <c r="H91" s="102">
        <f>7010480300-7065479734+106755570</f>
        <v>51756136</v>
      </c>
      <c r="I91" s="196">
        <f>+ROUND((H91/$L$3),2)</f>
        <v>6871842.7800000003</v>
      </c>
      <c r="J91" s="453">
        <f>1122964184.54-1188164828.63+68328696.06</f>
        <v>3128051.9699998498</v>
      </c>
      <c r="K91" s="289"/>
      <c r="L91" s="776" t="s">
        <v>1068</v>
      </c>
      <c r="M91" s="723"/>
    </row>
    <row r="92" spans="1:14" ht="15" customHeight="1" x14ac:dyDescent="0.25">
      <c r="A92" s="88">
        <v>2</v>
      </c>
      <c r="B92" s="748" t="s">
        <v>956</v>
      </c>
      <c r="C92" s="734"/>
      <c r="D92" s="734"/>
      <c r="E92" s="346"/>
      <c r="F92" s="346"/>
      <c r="G92" s="90"/>
      <c r="H92" s="102">
        <f>153922204-47159379</f>
        <v>106762825</v>
      </c>
      <c r="I92" s="196">
        <f>+ROUND((H92/$L$3),2)</f>
        <v>14175272.82</v>
      </c>
      <c r="J92" s="453">
        <v>91274942</v>
      </c>
      <c r="K92" s="349"/>
      <c r="L92" s="363" t="s">
        <v>958</v>
      </c>
    </row>
    <row r="93" spans="1:14" ht="15" customHeight="1" x14ac:dyDescent="0.25">
      <c r="A93" s="88">
        <v>3</v>
      </c>
      <c r="B93" s="748" t="s">
        <v>957</v>
      </c>
      <c r="C93" s="749"/>
      <c r="D93" s="749"/>
      <c r="E93" s="749"/>
      <c r="F93" s="749"/>
      <c r="G93" s="90"/>
      <c r="H93" s="102">
        <f>35646932+47159379</f>
        <v>82806311</v>
      </c>
      <c r="I93" s="196">
        <f>+ROUND((H93/$L$3),2)</f>
        <v>10994482.859999999</v>
      </c>
      <c r="J93" s="453">
        <v>115324062.70999999</v>
      </c>
      <c r="K93" s="349"/>
      <c r="L93" s="363" t="s">
        <v>959</v>
      </c>
    </row>
    <row r="94" spans="1:14" ht="15" customHeight="1" x14ac:dyDescent="0.25">
      <c r="A94" s="88">
        <v>4</v>
      </c>
      <c r="B94" s="553" t="s">
        <v>1093</v>
      </c>
      <c r="C94" s="554"/>
      <c r="D94" s="554"/>
      <c r="E94" s="554"/>
      <c r="F94" s="554"/>
      <c r="G94" s="90"/>
      <c r="H94" s="102"/>
      <c r="I94" s="196"/>
      <c r="J94" s="453">
        <f>12280800+13872918.78</f>
        <v>26153718.780000001</v>
      </c>
      <c r="K94" s="556"/>
      <c r="L94" s="363" t="s">
        <v>1056</v>
      </c>
    </row>
    <row r="95" spans="1:14" ht="15" customHeight="1" thickBot="1" x14ac:dyDescent="0.25">
      <c r="A95" s="91">
        <v>5</v>
      </c>
      <c r="B95" s="744" t="s">
        <v>362</v>
      </c>
      <c r="C95" s="744"/>
      <c r="D95" s="744"/>
      <c r="E95" s="93"/>
      <c r="F95" s="93"/>
      <c r="G95" s="93"/>
      <c r="H95" s="94">
        <v>666512</v>
      </c>
      <c r="I95" s="196">
        <f>+ROUND((H95/$L$3),2)+0.01</f>
        <v>88495.12999999999</v>
      </c>
      <c r="J95" s="452">
        <v>84049.98</v>
      </c>
      <c r="K95" s="97"/>
      <c r="L95" s="318">
        <v>7160</v>
      </c>
      <c r="N95" s="507" t="s">
        <v>1018</v>
      </c>
    </row>
    <row r="96" spans="1:14" ht="16.5" thickTop="1" thickBot="1" x14ac:dyDescent="0.3">
      <c r="A96" s="95"/>
      <c r="B96" s="95" t="s">
        <v>308</v>
      </c>
      <c r="C96" s="95"/>
      <c r="D96" s="95"/>
      <c r="E96" s="95"/>
      <c r="F96" s="95"/>
      <c r="G96" s="96"/>
      <c r="H96" s="96">
        <f>SUM(H89:H95)</f>
        <v>241991784</v>
      </c>
      <c r="I96" s="454">
        <f>SUM(I89:I95)</f>
        <v>32130093.59</v>
      </c>
      <c r="J96" s="454">
        <f>SUM(J89:J95)</f>
        <v>235964825.43999982</v>
      </c>
      <c r="K96" s="97"/>
      <c r="L96" s="460">
        <f>J96-'RDG '!L15</f>
        <v>0</v>
      </c>
    </row>
    <row r="97" spans="1:15" ht="18" customHeight="1" thickTop="1" x14ac:dyDescent="0.25">
      <c r="A97" s="65"/>
      <c r="B97" s="97"/>
      <c r="C97" s="97"/>
      <c r="D97" s="97"/>
      <c r="E97" s="83"/>
      <c r="F97" s="83"/>
      <c r="G97" s="83"/>
      <c r="H97" s="130"/>
      <c r="I97" s="130"/>
      <c r="J97" s="130"/>
      <c r="K97" s="97"/>
      <c r="L97" s="461">
        <f>H96/L3</f>
        <v>32130093.589377273</v>
      </c>
    </row>
    <row r="98" spans="1:15" s="64" customFormat="1" ht="20.25" customHeight="1" x14ac:dyDescent="0.25">
      <c r="A98" s="74" t="s">
        <v>455</v>
      </c>
      <c r="B98" s="74" t="s">
        <v>456</v>
      </c>
      <c r="C98" s="97"/>
      <c r="D98" s="107"/>
      <c r="E98" s="83"/>
      <c r="F98" s="83"/>
      <c r="G98" s="83"/>
      <c r="H98" s="63"/>
      <c r="I98" s="63"/>
      <c r="J98" s="63"/>
      <c r="K98" s="97"/>
      <c r="L98" s="156"/>
      <c r="O98" s="63"/>
    </row>
    <row r="99" spans="1:15" s="64" customFormat="1" ht="13.5" customHeight="1" thickBot="1" x14ac:dyDescent="0.3">
      <c r="A99" s="74"/>
      <c r="B99" s="74"/>
      <c r="C99" s="97"/>
      <c r="D99" s="107"/>
      <c r="E99" s="83"/>
      <c r="F99" s="83"/>
      <c r="G99" s="83"/>
      <c r="H99" s="22" t="s">
        <v>171</v>
      </c>
      <c r="I99" s="22"/>
      <c r="J99" s="22" t="s">
        <v>1005</v>
      </c>
      <c r="K99" s="97"/>
      <c r="L99" s="156"/>
      <c r="O99" s="63"/>
    </row>
    <row r="100" spans="1:15" s="64" customFormat="1" ht="31.5" customHeight="1" thickTop="1" thickBot="1" x14ac:dyDescent="0.3">
      <c r="A100" s="79" t="s">
        <v>266</v>
      </c>
      <c r="B100" s="80" t="s">
        <v>265</v>
      </c>
      <c r="C100" s="81"/>
      <c r="D100" s="81"/>
      <c r="E100" s="81"/>
      <c r="F100" s="81"/>
      <c r="G100" s="81"/>
      <c r="H100" s="82" t="str">
        <f>H7</f>
        <v>2022.</v>
      </c>
      <c r="I100" s="82" t="str">
        <f>I7</f>
        <v>2022.</v>
      </c>
      <c r="J100" s="82" t="str">
        <f>J7</f>
        <v>2023.</v>
      </c>
      <c r="K100" s="97"/>
      <c r="L100" s="156"/>
      <c r="O100" s="63"/>
    </row>
    <row r="101" spans="1:15" s="64" customFormat="1" ht="15" customHeight="1" thickTop="1" x14ac:dyDescent="0.25">
      <c r="A101" s="84">
        <v>1</v>
      </c>
      <c r="B101" s="85" t="s">
        <v>363</v>
      </c>
      <c r="C101" s="85"/>
      <c r="D101" s="85"/>
      <c r="E101" s="86"/>
      <c r="F101" s="86"/>
      <c r="G101" s="86"/>
      <c r="H101" s="75">
        <f>10852419538-9865567833-392911789-494065860</f>
        <v>99874056</v>
      </c>
      <c r="I101" s="196">
        <f>+ROUND((H101/$L$3),2)</f>
        <v>13260626.92</v>
      </c>
      <c r="J101" s="196">
        <f>9006326.25+2907902.68</f>
        <v>11914228.93</v>
      </c>
      <c r="K101" s="97"/>
      <c r="L101" s="320" t="s">
        <v>364</v>
      </c>
      <c r="O101" s="63"/>
    </row>
    <row r="102" spans="1:15" s="64" customFormat="1" ht="15" customHeight="1" x14ac:dyDescent="0.25">
      <c r="A102" s="88">
        <v>2</v>
      </c>
      <c r="B102" s="89" t="s">
        <v>365</v>
      </c>
      <c r="C102" s="89"/>
      <c r="D102" s="89"/>
      <c r="E102" s="90"/>
      <c r="F102" s="90"/>
      <c r="G102" s="90"/>
      <c r="H102" s="75">
        <v>84912927</v>
      </c>
      <c r="I102" s="196">
        <f>+ROUND((H102/$L$3),2)</f>
        <v>11274185.619999999</v>
      </c>
      <c r="J102" s="196">
        <v>9686635.0999999996</v>
      </c>
      <c r="K102" s="97"/>
      <c r="L102" s="320" t="s">
        <v>835</v>
      </c>
      <c r="O102" s="63"/>
    </row>
    <row r="103" spans="1:15" s="64" customFormat="1" ht="15" customHeight="1" x14ac:dyDescent="0.25">
      <c r="A103" s="88">
        <v>3</v>
      </c>
      <c r="B103" s="89" t="s">
        <v>367</v>
      </c>
      <c r="C103" s="89"/>
      <c r="D103" s="89"/>
      <c r="E103" s="90"/>
      <c r="F103" s="90"/>
      <c r="G103" s="90"/>
      <c r="H103" s="75">
        <v>1412797</v>
      </c>
      <c r="I103" s="196">
        <f>+ROUND((H103/$L$3),2)</f>
        <v>187581.99</v>
      </c>
      <c r="J103" s="196">
        <v>351169.14</v>
      </c>
      <c r="K103" s="97"/>
      <c r="L103" s="320" t="s">
        <v>368</v>
      </c>
      <c r="O103" s="63"/>
    </row>
    <row r="104" spans="1:15" s="64" customFormat="1" ht="15" customHeight="1" x14ac:dyDescent="0.25">
      <c r="A104" s="88">
        <v>4</v>
      </c>
      <c r="B104" s="89" t="s">
        <v>366</v>
      </c>
      <c r="C104" s="89"/>
      <c r="D104" s="89"/>
      <c r="E104" s="90"/>
      <c r="F104" s="90"/>
      <c r="G104" s="90"/>
      <c r="H104" s="75">
        <f>4552316</f>
        <v>4552316</v>
      </c>
      <c r="I104" s="196">
        <f>+ROUND((H104/$L$3),2)</f>
        <v>604426.88</v>
      </c>
      <c r="J104" s="196">
        <v>636404.18999999994</v>
      </c>
      <c r="K104" s="97"/>
      <c r="L104" s="320" t="s">
        <v>961</v>
      </c>
      <c r="O104" s="63"/>
    </row>
    <row r="105" spans="1:15" s="64" customFormat="1" ht="15" customHeight="1" x14ac:dyDescent="0.25">
      <c r="A105" s="65">
        <v>5</v>
      </c>
      <c r="B105" s="131" t="s">
        <v>457</v>
      </c>
      <c r="C105" s="131"/>
      <c r="D105" s="131"/>
      <c r="E105" s="132"/>
      <c r="F105" s="132"/>
      <c r="G105" s="132"/>
      <c r="H105" s="133">
        <f>SUM(H106:H111)</f>
        <v>151646961</v>
      </c>
      <c r="I105" s="478">
        <f>SUM(I106:I111)</f>
        <v>20134696.190000001</v>
      </c>
      <c r="J105" s="478">
        <f>SUM(J106:J111)</f>
        <v>20981239.109999999</v>
      </c>
      <c r="K105" s="97"/>
      <c r="L105" s="320" t="s">
        <v>458</v>
      </c>
      <c r="O105" s="63"/>
    </row>
    <row r="106" spans="1:15" s="64" customFormat="1" ht="15" customHeight="1" x14ac:dyDescent="0.2">
      <c r="A106" s="134" t="s">
        <v>459</v>
      </c>
      <c r="B106" s="745" t="s">
        <v>460</v>
      </c>
      <c r="C106" s="746"/>
      <c r="D106" s="746"/>
      <c r="E106" s="746"/>
      <c r="F106" s="746"/>
      <c r="G106" s="135"/>
      <c r="H106" s="136">
        <v>4884331</v>
      </c>
      <c r="I106" s="462">
        <f t="shared" ref="I106:I111" si="3">+ROUND((H106/$L$3),2)</f>
        <v>648509.67000000004</v>
      </c>
      <c r="J106" s="583">
        <v>335283.71000000002</v>
      </c>
      <c r="K106" s="97"/>
      <c r="L106" s="320" t="s">
        <v>461</v>
      </c>
      <c r="O106" s="63"/>
    </row>
    <row r="107" spans="1:15" s="64" customFormat="1" ht="15" customHeight="1" x14ac:dyDescent="0.25">
      <c r="A107" s="137" t="s">
        <v>462</v>
      </c>
      <c r="B107" s="716" t="s">
        <v>463</v>
      </c>
      <c r="C107" s="717"/>
      <c r="D107" s="717"/>
      <c r="E107" s="717"/>
      <c r="F107" s="717"/>
      <c r="G107" s="138"/>
      <c r="H107" s="139">
        <v>56792664</v>
      </c>
      <c r="I107" s="462">
        <f t="shared" si="3"/>
        <v>7540560.1799999997</v>
      </c>
      <c r="J107" s="584">
        <v>8134675.4800000004</v>
      </c>
      <c r="K107" s="97"/>
      <c r="L107" s="320" t="s">
        <v>464</v>
      </c>
      <c r="O107" s="63"/>
    </row>
    <row r="108" spans="1:15" s="64" customFormat="1" ht="15" customHeight="1" x14ac:dyDescent="0.25">
      <c r="A108" s="137" t="s">
        <v>465</v>
      </c>
      <c r="B108" s="716" t="s">
        <v>466</v>
      </c>
      <c r="C108" s="717"/>
      <c r="D108" s="717"/>
      <c r="E108" s="717"/>
      <c r="F108" s="717"/>
      <c r="G108" s="138"/>
      <c r="H108" s="139">
        <v>54436524</v>
      </c>
      <c r="I108" s="462">
        <f t="shared" si="3"/>
        <v>7227727.25</v>
      </c>
      <c r="J108" s="584">
        <v>6841899.2000000002</v>
      </c>
      <c r="K108" s="97"/>
      <c r="L108" s="320" t="s">
        <v>467</v>
      </c>
      <c r="O108" s="63"/>
    </row>
    <row r="109" spans="1:15" s="64" customFormat="1" ht="15" customHeight="1" x14ac:dyDescent="0.25">
      <c r="A109" s="137" t="s">
        <v>468</v>
      </c>
      <c r="B109" s="716" t="s">
        <v>469</v>
      </c>
      <c r="C109" s="717"/>
      <c r="D109" s="717"/>
      <c r="E109" s="717"/>
      <c r="F109" s="717"/>
      <c r="G109" s="138"/>
      <c r="H109" s="139">
        <v>7591081</v>
      </c>
      <c r="I109" s="462">
        <f t="shared" si="3"/>
        <v>1007894.31</v>
      </c>
      <c r="J109" s="584">
        <v>1027814.95</v>
      </c>
      <c r="K109" s="97"/>
      <c r="L109" s="320" t="s">
        <v>470</v>
      </c>
      <c r="M109" s="103"/>
      <c r="O109" s="63"/>
    </row>
    <row r="110" spans="1:15" s="64" customFormat="1" ht="15" customHeight="1" x14ac:dyDescent="0.25">
      <c r="A110" s="137" t="s">
        <v>471</v>
      </c>
      <c r="B110" s="716" t="s">
        <v>472</v>
      </c>
      <c r="C110" s="718"/>
      <c r="D110" s="718"/>
      <c r="E110" s="718"/>
      <c r="F110" s="718"/>
      <c r="G110" s="138"/>
      <c r="H110" s="139">
        <v>2862347</v>
      </c>
      <c r="I110" s="462">
        <f t="shared" si="3"/>
        <v>380043.8</v>
      </c>
      <c r="J110" s="584">
        <v>228818.5</v>
      </c>
      <c r="K110" s="97"/>
      <c r="L110" s="320" t="s">
        <v>473</v>
      </c>
      <c r="M110" s="103"/>
      <c r="O110" s="63"/>
    </row>
    <row r="111" spans="1:15" s="64" customFormat="1" ht="15" customHeight="1" thickBot="1" x14ac:dyDescent="0.3">
      <c r="A111" s="137" t="s">
        <v>474</v>
      </c>
      <c r="B111" s="729" t="s">
        <v>310</v>
      </c>
      <c r="C111" s="730"/>
      <c r="D111" s="730"/>
      <c r="E111" s="730"/>
      <c r="F111" s="730"/>
      <c r="G111" s="138"/>
      <c r="H111" s="139">
        <f>151646961-126566947</f>
        <v>25080014</v>
      </c>
      <c r="I111" s="462">
        <f t="shared" si="3"/>
        <v>3329960.98</v>
      </c>
      <c r="J111" s="584">
        <v>4412747.2699999996</v>
      </c>
      <c r="K111" s="97"/>
      <c r="L111" s="318" t="s">
        <v>970</v>
      </c>
      <c r="M111" s="103"/>
      <c r="O111" s="63"/>
    </row>
    <row r="112" spans="1:15" s="64" customFormat="1" ht="18" customHeight="1" thickTop="1" thickBot="1" x14ac:dyDescent="0.3">
      <c r="A112" s="95"/>
      <c r="B112" s="95" t="s">
        <v>308</v>
      </c>
      <c r="C112" s="95"/>
      <c r="D112" s="95"/>
      <c r="E112" s="95"/>
      <c r="F112" s="95"/>
      <c r="G112" s="96"/>
      <c r="H112" s="96">
        <f>SUM(H101:H105)</f>
        <v>342399057</v>
      </c>
      <c r="I112" s="454">
        <f>SUM(I101:I105)</f>
        <v>45461517.599999994</v>
      </c>
      <c r="J112" s="454">
        <f>SUM(J101:J105)</f>
        <v>43569676.469999999</v>
      </c>
      <c r="K112" s="63"/>
      <c r="L112" s="489">
        <f>J112-'RDG '!L16</f>
        <v>0</v>
      </c>
      <c r="O112" s="63"/>
    </row>
    <row r="113" spans="1:15" s="64" customFormat="1" ht="18" customHeight="1" thickTop="1" x14ac:dyDescent="0.25">
      <c r="A113" s="65"/>
      <c r="B113" s="97"/>
      <c r="C113" s="97"/>
      <c r="D113" s="107"/>
      <c r="E113" s="83"/>
      <c r="F113" s="83"/>
      <c r="G113" s="83"/>
      <c r="H113" s="90"/>
      <c r="I113" s="90"/>
      <c r="J113" s="90"/>
      <c r="K113" s="63"/>
      <c r="L113" s="455">
        <f>H112/L3</f>
        <v>45461517.595673919</v>
      </c>
      <c r="O113" s="63"/>
    </row>
    <row r="114" spans="1:15" ht="18" customHeight="1" x14ac:dyDescent="0.25">
      <c r="A114" s="74" t="s">
        <v>475</v>
      </c>
      <c r="B114" s="74" t="s">
        <v>476</v>
      </c>
      <c r="C114" s="97"/>
      <c r="D114" s="97"/>
      <c r="E114" s="97"/>
      <c r="F114" s="75"/>
      <c r="G114" s="75"/>
    </row>
    <row r="115" spans="1:15" ht="12.75" customHeight="1" thickBot="1" x14ac:dyDescent="0.3">
      <c r="A115" s="74"/>
      <c r="B115" s="74"/>
      <c r="C115" s="97"/>
      <c r="D115" s="97"/>
      <c r="E115" s="97"/>
      <c r="F115" s="75"/>
      <c r="G115" s="75"/>
      <c r="H115" s="22" t="s">
        <v>171</v>
      </c>
      <c r="I115" s="22"/>
      <c r="J115" s="22" t="s">
        <v>1005</v>
      </c>
    </row>
    <row r="116" spans="1:15" ht="31.5" thickTop="1" thickBot="1" x14ac:dyDescent="0.3">
      <c r="A116" s="79" t="s">
        <v>266</v>
      </c>
      <c r="B116" s="80" t="s">
        <v>265</v>
      </c>
      <c r="C116" s="81"/>
      <c r="D116" s="81"/>
      <c r="E116" s="81"/>
      <c r="F116" s="81"/>
      <c r="G116" s="81"/>
      <c r="H116" s="82" t="str">
        <f>H7</f>
        <v>2022.</v>
      </c>
      <c r="I116" s="82" t="str">
        <f>I7</f>
        <v>2022.</v>
      </c>
      <c r="J116" s="82" t="str">
        <f>J7</f>
        <v>2023.</v>
      </c>
      <c r="K116" s="140"/>
      <c r="L116" s="321" t="s">
        <v>477</v>
      </c>
    </row>
    <row r="117" spans="1:15" ht="15" customHeight="1" thickTop="1" x14ac:dyDescent="0.25">
      <c r="A117" s="84">
        <v>1</v>
      </c>
      <c r="B117" s="85" t="s">
        <v>478</v>
      </c>
      <c r="C117" s="85"/>
      <c r="D117" s="85"/>
      <c r="E117" s="86"/>
      <c r="F117" s="86"/>
      <c r="G117" s="86"/>
      <c r="H117" s="87">
        <v>68827448</v>
      </c>
      <c r="I117" s="196">
        <f>+ROUND((H117/$L$3),2)</f>
        <v>9138460.4399999995</v>
      </c>
      <c r="J117" s="451">
        <v>9451831.2300000004</v>
      </c>
      <c r="K117" s="140"/>
      <c r="L117" s="322"/>
    </row>
    <row r="118" spans="1:15" ht="15" customHeight="1" x14ac:dyDescent="0.25">
      <c r="A118" s="88">
        <v>2</v>
      </c>
      <c r="B118" s="89" t="s">
        <v>479</v>
      </c>
      <c r="C118" s="89"/>
      <c r="D118" s="89"/>
      <c r="E118" s="90"/>
      <c r="F118" s="90"/>
      <c r="G118" s="90"/>
      <c r="H118" s="75">
        <v>30809468</v>
      </c>
      <c r="I118" s="196">
        <f>+ROUND((H118/$L$3),2)</f>
        <v>4090680.58</v>
      </c>
      <c r="J118" s="196">
        <v>4263886.37</v>
      </c>
      <c r="K118" s="140"/>
      <c r="L118" s="322"/>
    </row>
    <row r="119" spans="1:15" ht="15" customHeight="1" thickBot="1" x14ac:dyDescent="0.3">
      <c r="A119" s="91">
        <v>3</v>
      </c>
      <c r="B119" s="92" t="s">
        <v>480</v>
      </c>
      <c r="C119" s="92"/>
      <c r="D119" s="92"/>
      <c r="E119" s="93"/>
      <c r="F119" s="93"/>
      <c r="G119" s="93"/>
      <c r="H119" s="94">
        <v>15514846</v>
      </c>
      <c r="I119" s="196">
        <f>+ROUND((H119/$L$3),2)</f>
        <v>2059960.24</v>
      </c>
      <c r="J119" s="452">
        <v>2151594.87</v>
      </c>
      <c r="K119" s="140"/>
      <c r="L119" s="320"/>
    </row>
    <row r="120" spans="1:15" ht="18" customHeight="1" thickTop="1" thickBot="1" x14ac:dyDescent="0.3">
      <c r="A120" s="95"/>
      <c r="B120" s="95" t="s">
        <v>270</v>
      </c>
      <c r="C120" s="95"/>
      <c r="D120" s="95"/>
      <c r="E120" s="95"/>
      <c r="F120" s="95"/>
      <c r="G120" s="96"/>
      <c r="H120" s="96">
        <f>SUM(H117:H119)</f>
        <v>115151762</v>
      </c>
      <c r="I120" s="454">
        <f>SUM(I117:I119)</f>
        <v>15289101.26</v>
      </c>
      <c r="J120" s="454">
        <f>SUM(J117:J119)</f>
        <v>15867312.470000003</v>
      </c>
      <c r="K120" s="140"/>
      <c r="L120" s="455">
        <f>J120-'RDG '!L17</f>
        <v>0</v>
      </c>
    </row>
    <row r="121" spans="1:15" ht="18" customHeight="1" thickTop="1" x14ac:dyDescent="0.25">
      <c r="A121" s="65"/>
      <c r="B121" s="97"/>
      <c r="C121" s="97"/>
      <c r="D121" s="97"/>
      <c r="E121" s="83"/>
      <c r="F121" s="83"/>
      <c r="G121" s="83"/>
      <c r="H121" s="90"/>
      <c r="I121" s="90"/>
      <c r="J121" s="90"/>
      <c r="K121" s="140"/>
      <c r="L121" s="455">
        <f>H120/L3</f>
        <v>15289101.261560587</v>
      </c>
    </row>
    <row r="122" spans="1:15" ht="18" customHeight="1" x14ac:dyDescent="0.25">
      <c r="A122" s="74" t="s">
        <v>481</v>
      </c>
      <c r="B122" s="731" t="s">
        <v>482</v>
      </c>
      <c r="C122" s="731"/>
      <c r="D122" s="97"/>
      <c r="E122" s="83"/>
      <c r="F122" s="83"/>
      <c r="G122" s="83"/>
      <c r="K122" s="140"/>
    </row>
    <row r="123" spans="1:15" ht="15.75" customHeight="1" thickBot="1" x14ac:dyDescent="0.3">
      <c r="A123" s="74"/>
      <c r="B123" s="74"/>
      <c r="C123" s="74"/>
      <c r="D123" s="97"/>
      <c r="E123" s="83"/>
      <c r="F123" s="83"/>
      <c r="G123" s="83"/>
      <c r="H123" s="22" t="s">
        <v>171</v>
      </c>
      <c r="I123" s="22"/>
      <c r="J123" s="22" t="s">
        <v>1005</v>
      </c>
      <c r="K123" s="140"/>
    </row>
    <row r="124" spans="1:15" ht="31.5" customHeight="1" thickTop="1" thickBot="1" x14ac:dyDescent="0.3">
      <c r="A124" s="79" t="s">
        <v>266</v>
      </c>
      <c r="B124" s="80" t="s">
        <v>265</v>
      </c>
      <c r="C124" s="81"/>
      <c r="D124" s="81"/>
      <c r="E124" s="81"/>
      <c r="F124" s="81"/>
      <c r="G124" s="81"/>
      <c r="H124" s="82" t="str">
        <f>H7</f>
        <v>2022.</v>
      </c>
      <c r="I124" s="82" t="str">
        <f>I7</f>
        <v>2022.</v>
      </c>
      <c r="J124" s="82" t="str">
        <f>J7</f>
        <v>2023.</v>
      </c>
      <c r="K124" s="140"/>
    </row>
    <row r="125" spans="1:15" ht="15" customHeight="1" thickTop="1" x14ac:dyDescent="0.25">
      <c r="A125" s="88">
        <v>1</v>
      </c>
      <c r="B125" s="97" t="s">
        <v>369</v>
      </c>
      <c r="C125" s="97"/>
      <c r="D125" s="97"/>
      <c r="E125" s="97"/>
      <c r="F125" s="125"/>
      <c r="G125" s="83"/>
      <c r="H125" s="98">
        <v>107450148</v>
      </c>
      <c r="I125" s="196">
        <f t="shared" ref="I125:I136" si="4">+ROUND((H125/$L$3),2)</f>
        <v>14266531.1</v>
      </c>
      <c r="J125" s="467">
        <v>5270000</v>
      </c>
      <c r="K125" s="140"/>
      <c r="L125" s="320" t="s">
        <v>370</v>
      </c>
      <c r="N125" s="63"/>
    </row>
    <row r="126" spans="1:15" ht="15" customHeight="1" x14ac:dyDescent="0.25">
      <c r="A126" s="88">
        <v>2</v>
      </c>
      <c r="B126" s="97" t="s">
        <v>371</v>
      </c>
      <c r="C126" s="97"/>
      <c r="D126" s="97"/>
      <c r="E126" s="97"/>
      <c r="F126" s="125"/>
      <c r="G126" s="83"/>
      <c r="H126" s="98">
        <f>5968973-294791</f>
        <v>5674182</v>
      </c>
      <c r="I126" s="196">
        <f t="shared" si="4"/>
        <v>753380.94</v>
      </c>
      <c r="J126" s="467">
        <f>1426598.89-42239.5</f>
        <v>1384359.39</v>
      </c>
      <c r="K126" s="140"/>
      <c r="L126" s="320" t="s">
        <v>483</v>
      </c>
      <c r="N126" s="63"/>
    </row>
    <row r="127" spans="1:15" ht="15" customHeight="1" x14ac:dyDescent="0.25">
      <c r="A127" s="88">
        <v>3</v>
      </c>
      <c r="B127" s="97" t="s">
        <v>484</v>
      </c>
      <c r="C127" s="97"/>
      <c r="D127" s="97"/>
      <c r="E127" s="97"/>
      <c r="F127" s="125"/>
      <c r="G127" s="83"/>
      <c r="H127" s="98">
        <v>1960375</v>
      </c>
      <c r="I127" s="196">
        <f t="shared" si="4"/>
        <v>260285.83</v>
      </c>
      <c r="J127" s="467"/>
      <c r="K127" s="140"/>
      <c r="L127" s="156" t="s">
        <v>485</v>
      </c>
      <c r="N127" s="63"/>
    </row>
    <row r="128" spans="1:15" ht="15" customHeight="1" x14ac:dyDescent="0.25">
      <c r="A128" s="88">
        <v>4</v>
      </c>
      <c r="B128" s="97" t="s">
        <v>372</v>
      </c>
      <c r="C128" s="97"/>
      <c r="D128" s="97"/>
      <c r="E128" s="97"/>
      <c r="F128" s="125"/>
      <c r="G128" s="83"/>
      <c r="H128" s="98">
        <v>25727753</v>
      </c>
      <c r="I128" s="196">
        <f t="shared" si="4"/>
        <v>3415963.54</v>
      </c>
      <c r="J128" s="467">
        <v>2847532</v>
      </c>
      <c r="K128" s="140"/>
      <c r="L128" s="320" t="s">
        <v>373</v>
      </c>
      <c r="N128" s="63"/>
    </row>
    <row r="129" spans="1:14" ht="15" customHeight="1" x14ac:dyDescent="0.25">
      <c r="A129" s="88">
        <v>5</v>
      </c>
      <c r="B129" s="97" t="s">
        <v>293</v>
      </c>
      <c r="C129" s="97"/>
      <c r="D129" s="97"/>
      <c r="E129" s="97"/>
      <c r="F129" s="125"/>
      <c r="G129" s="83"/>
      <c r="H129" s="98">
        <v>4040237</v>
      </c>
      <c r="I129" s="196">
        <f t="shared" si="4"/>
        <v>536436.36</v>
      </c>
      <c r="J129" s="467">
        <v>415886.88</v>
      </c>
      <c r="K129" s="140"/>
      <c r="L129" s="320" t="s">
        <v>374</v>
      </c>
      <c r="N129" s="63"/>
    </row>
    <row r="130" spans="1:14" ht="15" customHeight="1" x14ac:dyDescent="0.25">
      <c r="A130" s="88">
        <v>6</v>
      </c>
      <c r="B130" s="97" t="s">
        <v>375</v>
      </c>
      <c r="C130" s="97"/>
      <c r="D130" s="97"/>
      <c r="E130" s="97"/>
      <c r="F130" s="125"/>
      <c r="G130" s="83"/>
      <c r="H130" s="98">
        <v>11930136</v>
      </c>
      <c r="I130" s="196">
        <f t="shared" si="4"/>
        <v>1584005.79</v>
      </c>
      <c r="J130" s="467">
        <v>2472867.2799999998</v>
      </c>
      <c r="K130" s="140"/>
      <c r="L130" s="320" t="s">
        <v>376</v>
      </c>
      <c r="N130" s="63"/>
    </row>
    <row r="131" spans="1:14" ht="15" customHeight="1" x14ac:dyDescent="0.25">
      <c r="A131" s="88">
        <v>7</v>
      </c>
      <c r="B131" s="97" t="s">
        <v>377</v>
      </c>
      <c r="C131" s="97"/>
      <c r="D131" s="97"/>
      <c r="E131" s="97"/>
      <c r="F131" s="125"/>
      <c r="G131" s="83"/>
      <c r="H131" s="98">
        <v>6414171</v>
      </c>
      <c r="I131" s="196">
        <f t="shared" si="4"/>
        <v>851631.87</v>
      </c>
      <c r="J131" s="467">
        <v>1450951.22</v>
      </c>
      <c r="K131" s="140"/>
      <c r="L131" s="320" t="s">
        <v>378</v>
      </c>
      <c r="N131" s="63"/>
    </row>
    <row r="132" spans="1:14" ht="15" customHeight="1" x14ac:dyDescent="0.25">
      <c r="A132" s="88">
        <v>8</v>
      </c>
      <c r="B132" s="97" t="s">
        <v>384</v>
      </c>
      <c r="C132" s="97"/>
      <c r="D132" s="97"/>
      <c r="E132" s="97"/>
      <c r="F132" s="125"/>
      <c r="G132" s="83"/>
      <c r="H132" s="98">
        <v>21155978</v>
      </c>
      <c r="I132" s="196">
        <f t="shared" si="4"/>
        <v>2808953.02</v>
      </c>
      <c r="J132" s="467">
        <v>1058651.5900000001</v>
      </c>
      <c r="K132" s="140"/>
      <c r="L132" s="156" t="s">
        <v>385</v>
      </c>
      <c r="N132" s="63"/>
    </row>
    <row r="133" spans="1:14" ht="15" customHeight="1" x14ac:dyDescent="0.25">
      <c r="A133" s="88">
        <v>9</v>
      </c>
      <c r="B133" s="97" t="s">
        <v>379</v>
      </c>
      <c r="C133" s="97"/>
      <c r="D133" s="97"/>
      <c r="E133" s="97"/>
      <c r="F133" s="125"/>
      <c r="G133" s="83"/>
      <c r="H133" s="98">
        <v>1169308</v>
      </c>
      <c r="I133" s="196">
        <f t="shared" si="4"/>
        <v>155253.1</v>
      </c>
      <c r="J133" s="467">
        <v>191271.67999999999</v>
      </c>
      <c r="K133" s="140"/>
      <c r="L133" s="320" t="s">
        <v>380</v>
      </c>
      <c r="N133" s="63"/>
    </row>
    <row r="134" spans="1:14" s="143" customFormat="1" ht="15" customHeight="1" x14ac:dyDescent="0.25">
      <c r="A134" s="88">
        <v>10</v>
      </c>
      <c r="B134" s="97" t="s">
        <v>381</v>
      </c>
      <c r="C134" s="97"/>
      <c r="D134" s="97"/>
      <c r="E134" s="97"/>
      <c r="F134" s="125"/>
      <c r="G134" s="83"/>
      <c r="H134" s="141">
        <v>480310</v>
      </c>
      <c r="I134" s="196">
        <f t="shared" si="4"/>
        <v>63772.43</v>
      </c>
      <c r="J134" s="468">
        <v>304223.17</v>
      </c>
      <c r="K134" s="140"/>
      <c r="L134" s="320" t="s">
        <v>382</v>
      </c>
      <c r="M134" s="142"/>
    </row>
    <row r="135" spans="1:14" ht="15" customHeight="1" x14ac:dyDescent="0.25">
      <c r="A135" s="88">
        <v>11</v>
      </c>
      <c r="B135" s="97" t="s">
        <v>383</v>
      </c>
      <c r="C135" s="97"/>
      <c r="D135" s="97"/>
      <c r="E135" s="97"/>
      <c r="F135" s="125"/>
      <c r="G135" s="83"/>
      <c r="H135" s="141">
        <v>8972142</v>
      </c>
      <c r="I135" s="196">
        <f t="shared" si="4"/>
        <v>1191262.6000000001</v>
      </c>
      <c r="J135" s="468">
        <v>1092147.1599999999</v>
      </c>
      <c r="K135" s="140"/>
      <c r="L135" s="320" t="s">
        <v>392</v>
      </c>
      <c r="N135" s="63"/>
    </row>
    <row r="136" spans="1:14" ht="15" customHeight="1" x14ac:dyDescent="0.25">
      <c r="A136" s="88">
        <v>12</v>
      </c>
      <c r="B136" s="97" t="s">
        <v>386</v>
      </c>
      <c r="C136" s="97"/>
      <c r="D136" s="97"/>
      <c r="E136" s="97"/>
      <c r="F136" s="125"/>
      <c r="G136" s="83"/>
      <c r="H136" s="141">
        <v>767966749</v>
      </c>
      <c r="I136" s="196">
        <f t="shared" si="4"/>
        <v>101965625.08</v>
      </c>
      <c r="J136" s="468">
        <v>255805754.44</v>
      </c>
      <c r="K136" s="144"/>
      <c r="L136" s="320" t="s">
        <v>486</v>
      </c>
      <c r="N136" s="63"/>
    </row>
    <row r="137" spans="1:14" ht="15" customHeight="1" thickBot="1" x14ac:dyDescent="0.25">
      <c r="A137" s="88">
        <v>13</v>
      </c>
      <c r="B137" s="97" t="s">
        <v>387</v>
      </c>
      <c r="C137" s="97"/>
      <c r="D137" s="97"/>
      <c r="E137" s="97"/>
      <c r="F137" s="125"/>
      <c r="G137" s="83"/>
      <c r="H137" s="98">
        <f>204526725-194494430</f>
        <v>10032295</v>
      </c>
      <c r="I137" s="196">
        <f>+ROUND((H137/$L$3),2)+0.01</f>
        <v>1332022.82</v>
      </c>
      <c r="J137" s="467">
        <f>17632786.52-J125-J126-J128-J129-J130-J131-J132-J135-J133</f>
        <v>1449119.3199999994</v>
      </c>
      <c r="K137" s="145"/>
      <c r="L137" s="156" t="s">
        <v>487</v>
      </c>
      <c r="N137" s="507" t="s">
        <v>1018</v>
      </c>
    </row>
    <row r="138" spans="1:14" ht="16.5" thickTop="1" thickBot="1" x14ac:dyDescent="0.3">
      <c r="A138" s="95"/>
      <c r="B138" s="95" t="s">
        <v>437</v>
      </c>
      <c r="C138" s="95"/>
      <c r="D138" s="95"/>
      <c r="E138" s="95"/>
      <c r="F138" s="95"/>
      <c r="G138" s="96"/>
      <c r="H138" s="96">
        <f>SUM(H125:H137)</f>
        <v>972973784</v>
      </c>
      <c r="I138" s="454">
        <f>SUM(I125:I137)</f>
        <v>129185124.47999999</v>
      </c>
      <c r="J138" s="454">
        <f>SUM(J125:J137)</f>
        <v>273742764.13</v>
      </c>
      <c r="L138" s="461">
        <f>J138-'RDG '!L22</f>
        <v>0</v>
      </c>
      <c r="N138" s="147"/>
    </row>
    <row r="139" spans="1:14" ht="18.75" customHeight="1" thickTop="1" x14ac:dyDescent="0.25">
      <c r="A139" s="65"/>
      <c r="B139" s="97"/>
      <c r="C139" s="97"/>
      <c r="D139" s="97"/>
      <c r="E139" s="97"/>
      <c r="F139" s="125"/>
      <c r="G139" s="83"/>
      <c r="H139" s="98"/>
      <c r="I139" s="98"/>
      <c r="J139" s="98"/>
      <c r="L139" s="461">
        <f>H138/L3</f>
        <v>129185124.48311281</v>
      </c>
      <c r="N139" s="146"/>
    </row>
    <row r="140" spans="1:14" ht="20.25" hidden="1" customHeight="1" x14ac:dyDescent="0.25">
      <c r="A140" s="74" t="s">
        <v>488</v>
      </c>
      <c r="B140" s="731" t="s">
        <v>489</v>
      </c>
      <c r="C140" s="731"/>
      <c r="D140" s="731"/>
      <c r="E140" s="97"/>
      <c r="F140" s="75"/>
      <c r="G140" s="75"/>
      <c r="H140" s="64"/>
      <c r="I140" s="64"/>
      <c r="J140" s="64"/>
      <c r="K140" s="103"/>
      <c r="L140" s="319"/>
    </row>
    <row r="141" spans="1:14" ht="15.75" hidden="1" customHeight="1" thickBot="1" x14ac:dyDescent="0.3">
      <c r="A141" s="74"/>
      <c r="B141" s="74"/>
      <c r="C141" s="74"/>
      <c r="D141" s="74"/>
      <c r="E141" s="97"/>
      <c r="F141" s="75"/>
      <c r="G141" s="75"/>
      <c r="H141" s="78" t="s">
        <v>434</v>
      </c>
      <c r="I141" s="78" t="s">
        <v>434</v>
      </c>
      <c r="J141" s="78" t="s">
        <v>434</v>
      </c>
      <c r="K141" s="103"/>
      <c r="L141" s="323"/>
    </row>
    <row r="142" spans="1:14" ht="31.5" hidden="1" customHeight="1" thickTop="1" thickBot="1" x14ac:dyDescent="0.3">
      <c r="A142" s="79" t="s">
        <v>266</v>
      </c>
      <c r="B142" s="80" t="s">
        <v>265</v>
      </c>
      <c r="C142" s="81"/>
      <c r="D142" s="81"/>
      <c r="E142" s="81"/>
      <c r="F142" s="81"/>
      <c r="G142" s="81"/>
      <c r="H142" s="82" t="str">
        <f>H7</f>
        <v>2022.</v>
      </c>
      <c r="I142" s="82" t="str">
        <f>I7</f>
        <v>2022.</v>
      </c>
      <c r="J142" s="82" t="str">
        <f>J7</f>
        <v>2023.</v>
      </c>
      <c r="K142" s="103"/>
    </row>
    <row r="143" spans="1:14" ht="15" hidden="1" customHeight="1" thickTop="1" thickBot="1" x14ac:dyDescent="0.3">
      <c r="A143" s="88">
        <v>1</v>
      </c>
      <c r="B143" s="148" t="s">
        <v>490</v>
      </c>
      <c r="C143" s="149"/>
      <c r="D143" s="149"/>
      <c r="E143" s="90"/>
      <c r="F143" s="90"/>
      <c r="G143" s="90"/>
      <c r="H143" s="75"/>
      <c r="I143" s="75"/>
      <c r="J143" s="75"/>
      <c r="K143" s="103"/>
      <c r="L143" s="320" t="s">
        <v>491</v>
      </c>
    </row>
    <row r="144" spans="1:14" ht="18" hidden="1" customHeight="1" thickTop="1" thickBot="1" x14ac:dyDescent="0.3">
      <c r="A144" s="95"/>
      <c r="B144" s="95" t="s">
        <v>492</v>
      </c>
      <c r="C144" s="95"/>
      <c r="D144" s="95"/>
      <c r="E144" s="95"/>
      <c r="F144" s="95"/>
      <c r="G144" s="96"/>
      <c r="H144" s="96">
        <f>SUM(H143:H143)</f>
        <v>0</v>
      </c>
      <c r="I144" s="96">
        <f>SUM(I143:I143)</f>
        <v>0</v>
      </c>
      <c r="J144" s="96">
        <f>SUM(J143:J143)</f>
        <v>0</v>
      </c>
      <c r="K144" s="103"/>
      <c r="L144" s="314">
        <v>0</v>
      </c>
    </row>
    <row r="145" spans="1:13" ht="18" customHeight="1" x14ac:dyDescent="0.25">
      <c r="A145" s="65"/>
      <c r="B145" s="97"/>
      <c r="C145" s="97"/>
      <c r="D145" s="97"/>
      <c r="E145" s="97"/>
      <c r="F145" s="75"/>
      <c r="G145" s="75"/>
      <c r="H145" s="98"/>
      <c r="I145" s="98"/>
      <c r="J145" s="98"/>
    </row>
    <row r="146" spans="1:13" ht="20.25" customHeight="1" x14ac:dyDescent="0.25">
      <c r="A146" s="74" t="s">
        <v>488</v>
      </c>
      <c r="B146" s="731" t="s">
        <v>896</v>
      </c>
      <c r="C146" s="731"/>
      <c r="D146" s="731"/>
      <c r="E146" s="734"/>
      <c r="F146" s="734"/>
      <c r="G146" s="75"/>
    </row>
    <row r="147" spans="1:13" ht="15.75" customHeight="1" thickBot="1" x14ac:dyDescent="0.3">
      <c r="A147" s="74"/>
      <c r="B147" s="74"/>
      <c r="C147" s="74"/>
      <c r="D147" s="74"/>
      <c r="E147" s="97"/>
      <c r="F147" s="75"/>
      <c r="G147" s="75"/>
      <c r="H147" s="22" t="s">
        <v>171</v>
      </c>
      <c r="I147" s="22"/>
      <c r="J147" s="22" t="s">
        <v>1005</v>
      </c>
    </row>
    <row r="148" spans="1:13" ht="31.5" customHeight="1" thickTop="1" thickBot="1" x14ac:dyDescent="0.3">
      <c r="A148" s="79" t="s">
        <v>266</v>
      </c>
      <c r="B148" s="80" t="s">
        <v>265</v>
      </c>
      <c r="C148" s="81"/>
      <c r="D148" s="81"/>
      <c r="E148" s="81"/>
      <c r="F148" s="81"/>
      <c r="G148" s="81"/>
      <c r="H148" s="82" t="str">
        <f>H7</f>
        <v>2022.</v>
      </c>
      <c r="I148" s="82" t="str">
        <f>I7</f>
        <v>2022.</v>
      </c>
      <c r="J148" s="82" t="str">
        <f>J7</f>
        <v>2023.</v>
      </c>
      <c r="K148" s="103"/>
    </row>
    <row r="149" spans="1:13" ht="15" customHeight="1" thickTop="1" x14ac:dyDescent="0.25">
      <c r="A149" s="84">
        <v>1</v>
      </c>
      <c r="B149" s="85" t="s">
        <v>494</v>
      </c>
      <c r="C149" s="85"/>
      <c r="D149" s="85"/>
      <c r="E149" s="86"/>
      <c r="F149" s="86"/>
      <c r="G149" s="86"/>
      <c r="H149" s="87">
        <v>42562</v>
      </c>
      <c r="I149" s="196">
        <f>+ROUND((H149/$L$3),2)</f>
        <v>5651.11</v>
      </c>
      <c r="J149" s="451">
        <v>5234.41</v>
      </c>
      <c r="K149" s="103"/>
      <c r="L149" s="324">
        <v>457</v>
      </c>
    </row>
    <row r="150" spans="1:13" ht="15" hidden="1" customHeight="1" x14ac:dyDescent="0.25">
      <c r="A150" s="88">
        <v>2</v>
      </c>
      <c r="B150" s="89" t="s">
        <v>495</v>
      </c>
      <c r="C150" s="89"/>
      <c r="D150" s="89"/>
      <c r="E150" s="90"/>
      <c r="F150" s="90"/>
      <c r="G150" s="90"/>
      <c r="H150" s="75"/>
      <c r="I150" s="196">
        <f>+ROUND((H150/$L$3),2)</f>
        <v>0</v>
      </c>
      <c r="J150" s="196"/>
      <c r="K150" s="103"/>
      <c r="L150" s="320" t="s">
        <v>496</v>
      </c>
    </row>
    <row r="151" spans="1:13" ht="15" customHeight="1" x14ac:dyDescent="0.25">
      <c r="A151" s="88">
        <v>2</v>
      </c>
      <c r="B151" s="89" t="s">
        <v>963</v>
      </c>
      <c r="C151" s="89"/>
      <c r="D151" s="89"/>
      <c r="E151" s="90"/>
      <c r="F151" s="90"/>
      <c r="G151" s="90"/>
      <c r="H151" s="75">
        <v>2350724</v>
      </c>
      <c r="I151" s="196">
        <f>+ROUND((H151/$L$3),2)</f>
        <v>312113.83</v>
      </c>
      <c r="J151" s="196">
        <v>150397.48000000001</v>
      </c>
      <c r="K151" s="103"/>
      <c r="L151" s="320" t="s">
        <v>962</v>
      </c>
    </row>
    <row r="152" spans="1:13" ht="15" customHeight="1" thickBot="1" x14ac:dyDescent="0.3">
      <c r="A152" s="91">
        <v>3</v>
      </c>
      <c r="B152" s="92" t="s">
        <v>388</v>
      </c>
      <c r="C152" s="92"/>
      <c r="D152" s="92"/>
      <c r="E152" s="93"/>
      <c r="F152" s="93"/>
      <c r="G152" s="93"/>
      <c r="H152" s="94">
        <v>7585903</v>
      </c>
      <c r="I152" s="196">
        <f>+ROUND((H152/$L$3),2)</f>
        <v>1007206.81</v>
      </c>
      <c r="J152" s="452">
        <v>935484.03</v>
      </c>
      <c r="L152" s="320" t="s">
        <v>833</v>
      </c>
    </row>
    <row r="153" spans="1:13" ht="18" customHeight="1" thickTop="1" thickBot="1" x14ac:dyDescent="0.3">
      <c r="A153" s="95"/>
      <c r="B153" s="110" t="s">
        <v>270</v>
      </c>
      <c r="C153" s="95"/>
      <c r="D153" s="95"/>
      <c r="E153" s="95"/>
      <c r="F153" s="95"/>
      <c r="G153" s="96"/>
      <c r="H153" s="96">
        <f>SUM(H149:H152)</f>
        <v>9979189</v>
      </c>
      <c r="I153" s="454">
        <f>SUM(I149:I152)</f>
        <v>1324971.75</v>
      </c>
      <c r="J153" s="454">
        <f>SUM(J149:J152)</f>
        <v>1091115.92</v>
      </c>
      <c r="L153" s="455">
        <f>J153-'RDG '!L25</f>
        <v>0</v>
      </c>
    </row>
    <row r="154" spans="1:13" ht="18" customHeight="1" thickTop="1" x14ac:dyDescent="0.25">
      <c r="A154" s="65"/>
      <c r="B154" s="111"/>
      <c r="C154" s="97"/>
      <c r="D154" s="97"/>
      <c r="E154" s="97"/>
      <c r="F154" s="83"/>
      <c r="G154" s="83"/>
      <c r="H154" s="83"/>
      <c r="I154" s="83"/>
      <c r="J154" s="83"/>
      <c r="L154" s="455">
        <f>H153/L3</f>
        <v>1324971.7458014367</v>
      </c>
    </row>
    <row r="155" spans="1:13" ht="18" customHeight="1" x14ac:dyDescent="0.25">
      <c r="A155" s="600" t="s">
        <v>493</v>
      </c>
      <c r="B155" s="600" t="s">
        <v>1111</v>
      </c>
      <c r="C155" s="603"/>
      <c r="D155" s="603"/>
      <c r="E155" s="603"/>
      <c r="F155" s="83"/>
      <c r="G155" s="83"/>
      <c r="H155" s="83"/>
      <c r="I155" s="83"/>
      <c r="J155" s="83"/>
      <c r="L155" s="455"/>
    </row>
    <row r="156" spans="1:13" ht="18" customHeight="1" thickBot="1" x14ac:dyDescent="0.3">
      <c r="A156" s="600"/>
      <c r="B156" s="600"/>
      <c r="C156" s="600"/>
      <c r="D156" s="600"/>
      <c r="E156" s="603"/>
      <c r="F156" s="75"/>
      <c r="G156" s="75"/>
      <c r="H156" s="22" t="s">
        <v>171</v>
      </c>
      <c r="I156" s="22"/>
      <c r="J156" s="22" t="s">
        <v>1005</v>
      </c>
      <c r="L156" s="455"/>
    </row>
    <row r="157" spans="1:13" ht="18" customHeight="1" thickTop="1" thickBot="1" x14ac:dyDescent="0.3">
      <c r="A157" s="79" t="s">
        <v>266</v>
      </c>
      <c r="B157" s="80" t="s">
        <v>265</v>
      </c>
      <c r="C157" s="81"/>
      <c r="D157" s="81"/>
      <c r="E157" s="81"/>
      <c r="F157" s="81"/>
      <c r="G157" s="81"/>
      <c r="H157" s="82" t="s">
        <v>911</v>
      </c>
      <c r="I157" s="82" t="s">
        <v>911</v>
      </c>
      <c r="J157" s="82" t="s">
        <v>1011</v>
      </c>
      <c r="L157" s="455"/>
    </row>
    <row r="158" spans="1:13" ht="18" customHeight="1" thickTop="1" thickBot="1" x14ac:dyDescent="0.3">
      <c r="A158" s="84">
        <v>1</v>
      </c>
      <c r="B158" s="85" t="s">
        <v>1126</v>
      </c>
      <c r="C158" s="85"/>
      <c r="D158" s="85"/>
      <c r="E158" s="86"/>
      <c r="F158" s="86"/>
      <c r="G158" s="86"/>
      <c r="H158" s="87"/>
      <c r="I158" s="196">
        <v>76322154</v>
      </c>
      <c r="J158" s="451"/>
      <c r="L158" s="777" t="s">
        <v>1112</v>
      </c>
      <c r="M158" s="723"/>
    </row>
    <row r="159" spans="1:13" ht="18" customHeight="1" thickTop="1" thickBot="1" x14ac:dyDescent="0.3">
      <c r="A159" s="95"/>
      <c r="B159" s="110" t="s">
        <v>854</v>
      </c>
      <c r="C159" s="95"/>
      <c r="D159" s="95"/>
      <c r="E159" s="95"/>
      <c r="F159" s="95"/>
      <c r="G159" s="96"/>
      <c r="H159" s="96">
        <f>SUM(H158:H158)</f>
        <v>0</v>
      </c>
      <c r="I159" s="454">
        <f>SUM(I158:I158)</f>
        <v>76322154</v>
      </c>
      <c r="J159" s="454">
        <f>SUM(J158:J158)</f>
        <v>0</v>
      </c>
      <c r="L159" s="455"/>
    </row>
    <row r="160" spans="1:13" ht="18" customHeight="1" thickTop="1" x14ac:dyDescent="0.25">
      <c r="A160" s="610"/>
      <c r="B160" s="609"/>
      <c r="C160" s="610"/>
      <c r="D160" s="610"/>
      <c r="E160" s="610"/>
      <c r="F160" s="610"/>
      <c r="G160" s="611"/>
      <c r="H160" s="611"/>
      <c r="I160" s="612"/>
      <c r="J160" s="612"/>
      <c r="L160" s="455">
        <f>I158-'RDG '!K32</f>
        <v>0</v>
      </c>
    </row>
    <row r="161" spans="1:15" ht="20.25" customHeight="1" x14ac:dyDescent="0.25">
      <c r="A161" s="74" t="s">
        <v>497</v>
      </c>
      <c r="B161" s="74" t="s">
        <v>498</v>
      </c>
      <c r="C161" s="97"/>
      <c r="D161" s="107"/>
      <c r="E161" s="83"/>
      <c r="F161" s="83"/>
      <c r="G161" s="83"/>
    </row>
    <row r="162" spans="1:15" ht="15.75" customHeight="1" thickBot="1" x14ac:dyDescent="0.3">
      <c r="A162" s="74"/>
      <c r="B162" s="74"/>
      <c r="C162" s="97"/>
      <c r="D162" s="107"/>
      <c r="E162" s="83"/>
      <c r="F162" s="83"/>
      <c r="G162" s="83"/>
      <c r="H162" s="22" t="s">
        <v>171</v>
      </c>
      <c r="I162" s="22"/>
      <c r="J162" s="22" t="s">
        <v>1005</v>
      </c>
    </row>
    <row r="163" spans="1:15" s="150" customFormat="1" ht="31.5" customHeight="1" thickTop="1" thickBot="1" x14ac:dyDescent="0.3">
      <c r="A163" s="79" t="s">
        <v>266</v>
      </c>
      <c r="B163" s="80" t="s">
        <v>265</v>
      </c>
      <c r="C163" s="81"/>
      <c r="D163" s="81"/>
      <c r="E163" s="81"/>
      <c r="F163" s="81"/>
      <c r="G163" s="81"/>
      <c r="H163" s="82" t="str">
        <f>H7</f>
        <v>2022.</v>
      </c>
      <c r="I163" s="82" t="str">
        <f>I7</f>
        <v>2022.</v>
      </c>
      <c r="J163" s="82" t="str">
        <f>J7</f>
        <v>2023.</v>
      </c>
      <c r="K163" s="63"/>
      <c r="L163" s="755" t="s">
        <v>1027</v>
      </c>
      <c r="M163" s="756"/>
      <c r="N163" s="756"/>
      <c r="O163" s="63"/>
    </row>
    <row r="164" spans="1:15" s="150" customFormat="1" ht="15" customHeight="1" thickTop="1" x14ac:dyDescent="0.25">
      <c r="A164" s="84">
        <v>1</v>
      </c>
      <c r="B164" s="724" t="s">
        <v>965</v>
      </c>
      <c r="C164" s="725"/>
      <c r="D164" s="725"/>
      <c r="E164" s="725"/>
      <c r="F164" s="725"/>
      <c r="G164" s="725"/>
      <c r="H164" s="87">
        <v>8157752</v>
      </c>
      <c r="I164" s="196">
        <f>+ROUND((H164/$L$3),2)</f>
        <v>1083133.2</v>
      </c>
      <c r="J164" s="451"/>
      <c r="K164" s="152"/>
      <c r="L164" s="363" t="s">
        <v>966</v>
      </c>
      <c r="M164" s="64"/>
      <c r="N164" s="64"/>
      <c r="O164" s="63"/>
    </row>
    <row r="165" spans="1:15" s="150" customFormat="1" ht="29.25" customHeight="1" x14ac:dyDescent="0.25">
      <c r="A165" s="375">
        <v>2</v>
      </c>
      <c r="B165" s="721" t="s">
        <v>1078</v>
      </c>
      <c r="C165" s="722"/>
      <c r="D165" s="722"/>
      <c r="E165" s="723"/>
      <c r="F165" s="723"/>
      <c r="G165" s="723"/>
      <c r="H165" s="75">
        <v>1007104300</v>
      </c>
      <c r="I165" s="196">
        <f>+ROUND((H165/$L$3),2)</f>
        <v>133716752.19</v>
      </c>
      <c r="J165" s="196"/>
      <c r="K165" s="152"/>
      <c r="L165" s="362" t="s">
        <v>964</v>
      </c>
      <c r="M165" s="590"/>
      <c r="N165" s="589"/>
      <c r="O165" s="63"/>
    </row>
    <row r="166" spans="1:15" s="150" customFormat="1" ht="28.5" customHeight="1" x14ac:dyDescent="0.25">
      <c r="A166" s="375">
        <v>3</v>
      </c>
      <c r="B166" s="721" t="s">
        <v>1079</v>
      </c>
      <c r="C166" s="722"/>
      <c r="D166" s="722"/>
      <c r="E166" s="723"/>
      <c r="F166" s="723"/>
      <c r="G166" s="723"/>
      <c r="H166" s="75"/>
      <c r="I166" s="196"/>
      <c r="J166" s="196">
        <f>225562765.88+95582542.37-123664561.16-57412189.02</f>
        <v>140068558.06999999</v>
      </c>
      <c r="K166" s="152"/>
      <c r="L166" s="362" t="s">
        <v>1077</v>
      </c>
      <c r="M166" s="590"/>
      <c r="N166" s="589"/>
      <c r="O166" s="63"/>
    </row>
    <row r="167" spans="1:15" s="150" customFormat="1" ht="15" customHeight="1" x14ac:dyDescent="0.25">
      <c r="A167" s="88">
        <v>4</v>
      </c>
      <c r="B167" s="153" t="s">
        <v>499</v>
      </c>
      <c r="C167" s="89"/>
      <c r="D167" s="89"/>
      <c r="E167" s="90"/>
      <c r="F167" s="90"/>
      <c r="G167" s="90"/>
      <c r="H167" s="75">
        <v>2127279</v>
      </c>
      <c r="I167" s="196">
        <f>+ROUND((H167/$L$3),2)</f>
        <v>282446.26</v>
      </c>
      <c r="J167" s="196">
        <f>107.46+36752.52+671.67+209230.64</f>
        <v>246762.29</v>
      </c>
      <c r="K167" s="152"/>
      <c r="L167" s="314">
        <v>7390</v>
      </c>
      <c r="M167" s="64"/>
      <c r="N167" s="64"/>
      <c r="O167" s="63"/>
    </row>
    <row r="168" spans="1:15" s="150" customFormat="1" ht="15" customHeight="1" thickBot="1" x14ac:dyDescent="0.3">
      <c r="A168" s="91">
        <v>5</v>
      </c>
      <c r="B168" s="154" t="s">
        <v>500</v>
      </c>
      <c r="C168" s="92"/>
      <c r="D168" s="92"/>
      <c r="E168" s="93"/>
      <c r="F168" s="93"/>
      <c r="G168" s="93"/>
      <c r="H168" s="94">
        <f>72527+10153+753+57924</f>
        <v>141357</v>
      </c>
      <c r="I168" s="196">
        <f>+ROUND((H168/$L$3),2)</f>
        <v>18768.46</v>
      </c>
      <c r="J168" s="452">
        <f>110080.84-24239.34+210.22+2635.51+10.32</f>
        <v>88697.55</v>
      </c>
      <c r="K168" s="152"/>
      <c r="L168" s="314" t="s">
        <v>1076</v>
      </c>
      <c r="M168" s="64"/>
      <c r="N168" s="64"/>
      <c r="O168" s="63"/>
    </row>
    <row r="169" spans="1:15" s="150" customFormat="1" ht="18" customHeight="1" thickTop="1" thickBot="1" x14ac:dyDescent="0.3">
      <c r="A169" s="95"/>
      <c r="B169" s="95" t="s">
        <v>308</v>
      </c>
      <c r="C169" s="95"/>
      <c r="D169" s="95"/>
      <c r="E169" s="95"/>
      <c r="F169" s="95"/>
      <c r="G169" s="96"/>
      <c r="H169" s="96">
        <f>SUM(H164:H168)</f>
        <v>1017530688</v>
      </c>
      <c r="I169" s="454">
        <f>SUM(I164:I168)</f>
        <v>135101100.10999998</v>
      </c>
      <c r="J169" s="454">
        <f>SUM(J164:J168)</f>
        <v>140404017.91</v>
      </c>
      <c r="K169" s="152"/>
      <c r="L169" s="489">
        <f>J169-'RDG '!L33</f>
        <v>0</v>
      </c>
      <c r="M169" s="64"/>
      <c r="N169" s="64"/>
      <c r="O169" s="63"/>
    </row>
    <row r="170" spans="1:15" s="150" customFormat="1" ht="18" customHeight="1" thickTop="1" x14ac:dyDescent="0.25">
      <c r="A170" s="65"/>
      <c r="B170" s="97"/>
      <c r="C170" s="97"/>
      <c r="D170" s="97"/>
      <c r="E170" s="97"/>
      <c r="F170" s="97"/>
      <c r="G170" s="97"/>
      <c r="H170" s="155"/>
      <c r="I170" s="155"/>
      <c r="J170" s="155"/>
      <c r="K170" s="152"/>
      <c r="L170" s="455">
        <f>H169/L3</f>
        <v>135101100.10802451</v>
      </c>
      <c r="M170" s="64"/>
      <c r="N170" s="64"/>
      <c r="O170" s="63"/>
    </row>
    <row r="171" spans="1:15" s="150" customFormat="1" ht="20.25" customHeight="1" x14ac:dyDescent="0.25">
      <c r="A171" s="74" t="s">
        <v>501</v>
      </c>
      <c r="B171" s="74" t="s">
        <v>502</v>
      </c>
      <c r="C171" s="97"/>
      <c r="D171" s="107"/>
      <c r="E171" s="83"/>
      <c r="F171" s="83"/>
      <c r="G171" s="83"/>
      <c r="H171" s="63"/>
      <c r="I171" s="63"/>
      <c r="J171" s="63"/>
      <c r="K171" s="63"/>
      <c r="L171" s="314"/>
      <c r="M171" s="64"/>
      <c r="N171" s="64"/>
      <c r="O171" s="63"/>
    </row>
    <row r="172" spans="1:15" s="150" customFormat="1" ht="15.75" customHeight="1" thickBot="1" x14ac:dyDescent="0.3">
      <c r="A172" s="74"/>
      <c r="B172" s="74"/>
      <c r="C172" s="97"/>
      <c r="D172" s="107"/>
      <c r="E172" s="83"/>
      <c r="F172" s="83"/>
      <c r="G172" s="83"/>
      <c r="H172" s="22" t="s">
        <v>171</v>
      </c>
      <c r="I172" s="22"/>
      <c r="J172" s="22" t="s">
        <v>1005</v>
      </c>
      <c r="K172" s="63"/>
      <c r="L172" s="314"/>
      <c r="M172" s="64"/>
      <c r="N172" s="64"/>
      <c r="O172" s="63"/>
    </row>
    <row r="173" spans="1:15" s="150" customFormat="1" ht="31.5" customHeight="1" thickTop="1" thickBot="1" x14ac:dyDescent="0.3">
      <c r="A173" s="79" t="s">
        <v>266</v>
      </c>
      <c r="B173" s="80" t="s">
        <v>265</v>
      </c>
      <c r="C173" s="81"/>
      <c r="D173" s="81"/>
      <c r="E173" s="81"/>
      <c r="F173" s="81"/>
      <c r="G173" s="81"/>
      <c r="H173" s="82" t="str">
        <f>H7</f>
        <v>2022.</v>
      </c>
      <c r="I173" s="82" t="str">
        <f>I7</f>
        <v>2022.</v>
      </c>
      <c r="J173" s="82" t="str">
        <f>J7</f>
        <v>2023.</v>
      </c>
      <c r="K173" s="63"/>
      <c r="L173" s="314" t="s">
        <v>503</v>
      </c>
      <c r="M173" s="64"/>
      <c r="N173" s="64"/>
      <c r="O173" s="63"/>
    </row>
    <row r="174" spans="1:15" s="150" customFormat="1" ht="15" customHeight="1" thickTop="1" x14ac:dyDescent="0.25">
      <c r="A174" s="84">
        <v>1</v>
      </c>
      <c r="B174" s="151" t="s">
        <v>504</v>
      </c>
      <c r="C174" s="85"/>
      <c r="D174" s="85"/>
      <c r="E174" s="86"/>
      <c r="F174" s="86"/>
      <c r="G174" s="86"/>
      <c r="H174" s="87">
        <v>109647761</v>
      </c>
      <c r="I174" s="196">
        <f t="shared" ref="I174:I179" si="5">+ROUND((H174/$L$3),2)</f>
        <v>14558315.84</v>
      </c>
      <c r="J174" s="451">
        <f>1189113.11+3587419.39</f>
        <v>4776532.5</v>
      </c>
      <c r="K174" s="63"/>
      <c r="L174" s="321" t="s">
        <v>972</v>
      </c>
      <c r="M174" s="64"/>
      <c r="N174" s="52"/>
      <c r="O174" s="63"/>
    </row>
    <row r="175" spans="1:15" s="150" customFormat="1" ht="15" customHeight="1" x14ac:dyDescent="0.25">
      <c r="A175" s="88">
        <v>2</v>
      </c>
      <c r="B175" s="153" t="s">
        <v>505</v>
      </c>
      <c r="C175" s="89"/>
      <c r="D175" s="89"/>
      <c r="E175" s="90"/>
      <c r="F175" s="90"/>
      <c r="G175" s="90"/>
      <c r="H175" s="75">
        <v>745289</v>
      </c>
      <c r="I175" s="196">
        <f t="shared" si="5"/>
        <v>98954.62</v>
      </c>
      <c r="J175" s="196">
        <f>116322.04+307262.73</f>
        <v>423584.76999999996</v>
      </c>
      <c r="K175" s="63"/>
      <c r="L175" s="769" t="s">
        <v>973</v>
      </c>
      <c r="M175" s="734"/>
      <c r="N175" s="52"/>
      <c r="O175" s="63"/>
    </row>
    <row r="176" spans="1:15" s="150" customFormat="1" ht="15" hidden="1" customHeight="1" x14ac:dyDescent="0.25">
      <c r="A176" s="88">
        <v>3</v>
      </c>
      <c r="B176" s="153" t="s">
        <v>506</v>
      </c>
      <c r="C176" s="89"/>
      <c r="D176" s="89"/>
      <c r="E176" s="90"/>
      <c r="F176" s="90"/>
      <c r="G176" s="90"/>
      <c r="H176" s="102"/>
      <c r="I176" s="196">
        <f t="shared" si="5"/>
        <v>0</v>
      </c>
      <c r="J176" s="453">
        <v>0</v>
      </c>
      <c r="K176" s="63"/>
      <c r="L176" s="773" t="s">
        <v>974</v>
      </c>
      <c r="M176" s="734"/>
      <c r="N176" s="52"/>
      <c r="O176" s="63"/>
    </row>
    <row r="177" spans="1:15" s="150" customFormat="1" ht="15" customHeight="1" x14ac:dyDescent="0.25">
      <c r="A177" s="88">
        <v>3</v>
      </c>
      <c r="B177" s="153" t="s">
        <v>507</v>
      </c>
      <c r="C177" s="89"/>
      <c r="D177" s="89"/>
      <c r="E177" s="90"/>
      <c r="F177" s="90"/>
      <c r="G177" s="90"/>
      <c r="H177" s="102">
        <f>2624130-839174</f>
        <v>1784956</v>
      </c>
      <c r="I177" s="196">
        <f t="shared" si="5"/>
        <v>236994.84</v>
      </c>
      <c r="J177" s="453">
        <f>468758.58-309072.44</f>
        <v>159686.14000000001</v>
      </c>
      <c r="K177" s="63"/>
      <c r="L177" s="769" t="s">
        <v>1113</v>
      </c>
      <c r="M177" s="723"/>
      <c r="N177" s="723"/>
      <c r="O177" s="63"/>
    </row>
    <row r="178" spans="1:15" s="150" customFormat="1" ht="15" customHeight="1" x14ac:dyDescent="0.25">
      <c r="A178" s="88">
        <v>4</v>
      </c>
      <c r="B178" s="153" t="s">
        <v>508</v>
      </c>
      <c r="C178" s="89"/>
      <c r="D178" s="89"/>
      <c r="E178" s="90"/>
      <c r="F178" s="90"/>
      <c r="G178" s="90"/>
      <c r="H178" s="75">
        <v>4068008</v>
      </c>
      <c r="I178" s="196">
        <f t="shared" si="5"/>
        <v>540123.62</v>
      </c>
      <c r="J178" s="196">
        <v>621861.12</v>
      </c>
      <c r="K178" s="63"/>
      <c r="L178" s="321" t="s">
        <v>389</v>
      </c>
      <c r="M178" s="64"/>
      <c r="N178" s="52"/>
      <c r="O178" s="63"/>
    </row>
    <row r="179" spans="1:15" ht="15" customHeight="1" x14ac:dyDescent="0.25">
      <c r="A179" s="88">
        <v>5</v>
      </c>
      <c r="B179" s="153" t="s">
        <v>509</v>
      </c>
      <c r="C179" s="89"/>
      <c r="D179" s="89"/>
      <c r="E179" s="90"/>
      <c r="F179" s="90"/>
      <c r="G179" s="90"/>
      <c r="H179" s="75">
        <v>757046813</v>
      </c>
      <c r="I179" s="196">
        <f t="shared" si="5"/>
        <v>100515747.06999999</v>
      </c>
      <c r="J179" s="196">
        <v>33925209.369999997</v>
      </c>
      <c r="L179" s="321" t="s">
        <v>971</v>
      </c>
      <c r="N179" s="52"/>
    </row>
    <row r="180" spans="1:15" ht="15" hidden="1" customHeight="1" x14ac:dyDescent="0.25">
      <c r="A180" s="88">
        <v>6</v>
      </c>
      <c r="B180" s="153" t="s">
        <v>510</v>
      </c>
      <c r="C180" s="89"/>
      <c r="D180" s="89"/>
      <c r="E180" s="90"/>
      <c r="F180" s="90"/>
      <c r="G180" s="90"/>
      <c r="H180" s="75"/>
      <c r="I180" s="196"/>
      <c r="J180" s="196"/>
      <c r="L180" s="321"/>
      <c r="N180" s="146"/>
    </row>
    <row r="181" spans="1:15" ht="15" customHeight="1" x14ac:dyDescent="0.25">
      <c r="A181" s="88">
        <v>6</v>
      </c>
      <c r="B181" s="570" t="s">
        <v>1071</v>
      </c>
      <c r="C181" s="571"/>
      <c r="D181" s="571"/>
      <c r="E181" s="90"/>
      <c r="F181" s="90"/>
      <c r="G181" s="90"/>
      <c r="H181" s="75"/>
      <c r="I181" s="196"/>
      <c r="J181" s="196">
        <v>3924404.14</v>
      </c>
      <c r="L181" s="566" t="s">
        <v>1070</v>
      </c>
      <c r="N181" s="146"/>
    </row>
    <row r="182" spans="1:15" ht="15" customHeight="1" thickBot="1" x14ac:dyDescent="0.25">
      <c r="A182" s="91">
        <v>7</v>
      </c>
      <c r="B182" s="154" t="s">
        <v>511</v>
      </c>
      <c r="C182" s="92"/>
      <c r="D182" s="92"/>
      <c r="E182" s="93"/>
      <c r="F182" s="93"/>
      <c r="G182" s="93"/>
      <c r="H182" s="94">
        <v>49407</v>
      </c>
      <c r="I182" s="196">
        <f>+ROUND((H182/$L$3),2)+0.01</f>
        <v>6559.95</v>
      </c>
      <c r="J182" s="490">
        <f>4046925.69-13066.5-3924404.14</f>
        <v>109455.04999999981</v>
      </c>
      <c r="L182" s="321" t="s">
        <v>1057</v>
      </c>
      <c r="N182" s="507" t="s">
        <v>1018</v>
      </c>
    </row>
    <row r="183" spans="1:15" ht="18" customHeight="1" thickTop="1" thickBot="1" x14ac:dyDescent="0.3">
      <c r="A183" s="95"/>
      <c r="B183" s="95" t="s">
        <v>542</v>
      </c>
      <c r="C183" s="95"/>
      <c r="D183" s="95"/>
      <c r="E183" s="95"/>
      <c r="F183" s="95"/>
      <c r="G183" s="96"/>
      <c r="H183" s="96">
        <f>SUM(H174:H182)</f>
        <v>873342234</v>
      </c>
      <c r="I183" s="454">
        <f>SUM(I174:I182)</f>
        <v>115956695.94</v>
      </c>
      <c r="J183" s="454">
        <f>SUM(J174:J182)</f>
        <v>43940733.089999996</v>
      </c>
      <c r="L183" s="455">
        <f>J183-'RDG '!L34</f>
        <v>0</v>
      </c>
    </row>
    <row r="184" spans="1:15" ht="18" customHeight="1" thickTop="1" x14ac:dyDescent="0.25">
      <c r="A184" s="65"/>
      <c r="B184" s="97"/>
      <c r="C184" s="97"/>
      <c r="D184" s="97"/>
      <c r="E184" s="97"/>
      <c r="F184" s="97"/>
      <c r="G184" s="97"/>
      <c r="H184" s="449"/>
      <c r="I184" s="449"/>
      <c r="J184" s="97"/>
      <c r="L184" s="455">
        <f>H183/L3</f>
        <v>115956695.92640312</v>
      </c>
    </row>
    <row r="185" spans="1:15" s="51" customFormat="1" ht="20.25" customHeight="1" x14ac:dyDescent="0.25">
      <c r="A185" s="74" t="s">
        <v>512</v>
      </c>
      <c r="B185" s="74" t="s">
        <v>513</v>
      </c>
      <c r="C185" s="97"/>
      <c r="D185" s="107"/>
      <c r="E185" s="83"/>
      <c r="F185" s="83"/>
      <c r="G185" s="83"/>
      <c r="L185" s="156"/>
      <c r="M185" s="157"/>
      <c r="N185" s="157"/>
    </row>
    <row r="186" spans="1:15" s="51" customFormat="1" ht="15.75" customHeight="1" thickBot="1" x14ac:dyDescent="0.3">
      <c r="A186" s="74"/>
      <c r="B186" s="74"/>
      <c r="C186" s="97"/>
      <c r="D186" s="107"/>
      <c r="E186" s="83"/>
      <c r="F186" s="83"/>
      <c r="G186" s="83"/>
      <c r="H186" s="22" t="s">
        <v>171</v>
      </c>
      <c r="I186" s="22"/>
      <c r="J186" s="22" t="s">
        <v>1005</v>
      </c>
      <c r="L186" s="320"/>
      <c r="M186" s="157"/>
      <c r="N186" s="157"/>
    </row>
    <row r="187" spans="1:15" ht="31.5" customHeight="1" thickTop="1" thickBot="1" x14ac:dyDescent="0.3">
      <c r="A187" s="79" t="s">
        <v>266</v>
      </c>
      <c r="B187" s="80" t="s">
        <v>265</v>
      </c>
      <c r="C187" s="81"/>
      <c r="D187" s="81"/>
      <c r="E187" s="81"/>
      <c r="F187" s="81"/>
      <c r="G187" s="81"/>
      <c r="H187" s="82" t="str">
        <f>H7</f>
        <v>2022.</v>
      </c>
      <c r="I187" s="82" t="str">
        <f>I7</f>
        <v>2022.</v>
      </c>
      <c r="J187" s="82" t="str">
        <f>J7</f>
        <v>2023.</v>
      </c>
      <c r="L187" s="321" t="s">
        <v>503</v>
      </c>
    </row>
    <row r="188" spans="1:15" ht="15" customHeight="1" thickTop="1" x14ac:dyDescent="0.25">
      <c r="A188" s="84">
        <v>1</v>
      </c>
      <c r="B188" s="151" t="s">
        <v>514</v>
      </c>
      <c r="C188" s="85"/>
      <c r="D188" s="85"/>
      <c r="E188" s="86"/>
      <c r="F188" s="86"/>
      <c r="G188" s="86"/>
      <c r="H188" s="87">
        <v>243877064</v>
      </c>
      <c r="I188" s="196">
        <f t="shared" ref="I188:I194" si="6">+ROUND((H188/$L$3),2)</f>
        <v>32380408.789999999</v>
      </c>
      <c r="J188" s="451">
        <f>69696599.63</f>
        <v>69696599.629999995</v>
      </c>
      <c r="L188" s="769" t="s">
        <v>975</v>
      </c>
      <c r="M188" s="734"/>
      <c r="N188" s="734"/>
      <c r="O188" s="734"/>
    </row>
    <row r="189" spans="1:15" ht="15" customHeight="1" x14ac:dyDescent="0.25">
      <c r="A189" s="88">
        <v>2</v>
      </c>
      <c r="B189" s="153" t="s">
        <v>515</v>
      </c>
      <c r="C189" s="89"/>
      <c r="D189" s="89"/>
      <c r="E189" s="90"/>
      <c r="F189" s="90"/>
      <c r="G189" s="90"/>
      <c r="H189" s="102">
        <f>689050196-664535525</f>
        <v>24514671</v>
      </c>
      <c r="I189" s="196">
        <f t="shared" si="6"/>
        <v>3254898.41</v>
      </c>
      <c r="J189" s="453"/>
      <c r="L189" s="774" t="s">
        <v>1114</v>
      </c>
      <c r="M189" s="775"/>
      <c r="N189" s="734"/>
      <c r="O189" s="734"/>
    </row>
    <row r="190" spans="1:15" ht="15" hidden="1" customHeight="1" x14ac:dyDescent="0.25">
      <c r="A190" s="88">
        <v>3</v>
      </c>
      <c r="B190" s="153" t="s">
        <v>516</v>
      </c>
      <c r="C190" s="89"/>
      <c r="D190" s="89"/>
      <c r="E190" s="90"/>
      <c r="F190" s="90"/>
      <c r="G190" s="90"/>
      <c r="H190" s="102"/>
      <c r="I190" s="196">
        <f t="shared" si="6"/>
        <v>0</v>
      </c>
      <c r="J190" s="453"/>
      <c r="L190" s="321"/>
    </row>
    <row r="191" spans="1:15" ht="15" customHeight="1" x14ac:dyDescent="0.25">
      <c r="A191" s="88">
        <v>3</v>
      </c>
      <c r="B191" s="153" t="s">
        <v>517</v>
      </c>
      <c r="C191" s="89"/>
      <c r="D191" s="89"/>
      <c r="E191" s="90"/>
      <c r="F191" s="90"/>
      <c r="G191" s="90"/>
      <c r="H191" s="102">
        <v>6818699</v>
      </c>
      <c r="I191" s="196">
        <f t="shared" si="6"/>
        <v>905342.46</v>
      </c>
      <c r="J191" s="453"/>
      <c r="L191" s="321" t="s">
        <v>976</v>
      </c>
    </row>
    <row r="192" spans="1:15" ht="15" customHeight="1" x14ac:dyDescent="0.25">
      <c r="A192" s="88">
        <v>4</v>
      </c>
      <c r="B192" s="153" t="s">
        <v>518</v>
      </c>
      <c r="C192" s="89"/>
      <c r="D192" s="89"/>
      <c r="E192" s="90"/>
      <c r="F192" s="90"/>
      <c r="G192" s="90"/>
      <c r="H192" s="102">
        <v>163613</v>
      </c>
      <c r="I192" s="196">
        <f t="shared" si="6"/>
        <v>21723.47</v>
      </c>
      <c r="J192" s="453">
        <v>14930.08</v>
      </c>
      <c r="L192" s="321" t="s">
        <v>969</v>
      </c>
    </row>
    <row r="193" spans="1:23" ht="15" hidden="1" customHeight="1" x14ac:dyDescent="0.25">
      <c r="A193" s="88">
        <v>5</v>
      </c>
      <c r="B193" s="346" t="s">
        <v>977</v>
      </c>
      <c r="C193" s="364"/>
      <c r="D193" s="364"/>
      <c r="E193" s="364"/>
      <c r="F193" s="364"/>
      <c r="G193" s="90"/>
      <c r="H193" s="141"/>
      <c r="I193" s="196"/>
      <c r="J193" s="468"/>
      <c r="L193" s="769" t="s">
        <v>1115</v>
      </c>
      <c r="M193" s="734"/>
    </row>
    <row r="194" spans="1:23" ht="15" hidden="1" customHeight="1" thickBot="1" x14ac:dyDescent="0.3">
      <c r="A194" s="158">
        <v>6</v>
      </c>
      <c r="B194" s="159" t="s">
        <v>519</v>
      </c>
      <c r="C194" s="160"/>
      <c r="D194" s="160"/>
      <c r="E194" s="160"/>
      <c r="F194" s="160"/>
      <c r="G194" s="161"/>
      <c r="H194" s="94"/>
      <c r="I194" s="196">
        <f t="shared" si="6"/>
        <v>0</v>
      </c>
      <c r="J194" s="452"/>
      <c r="L194" s="321"/>
    </row>
    <row r="195" spans="1:23" ht="15" customHeight="1" x14ac:dyDescent="0.25">
      <c r="A195" s="562">
        <v>5</v>
      </c>
      <c r="B195" s="602" t="s">
        <v>1117</v>
      </c>
      <c r="C195" s="561"/>
      <c r="D195" s="561"/>
      <c r="E195" s="561"/>
      <c r="F195" s="561"/>
      <c r="G195" s="138"/>
      <c r="H195" s="75"/>
      <c r="I195" s="196"/>
      <c r="J195" s="196">
        <v>32142000</v>
      </c>
      <c r="L195" s="606" t="s">
        <v>1116</v>
      </c>
    </row>
    <row r="196" spans="1:23" ht="15" customHeight="1" x14ac:dyDescent="0.25">
      <c r="A196" s="562">
        <v>6</v>
      </c>
      <c r="B196" s="551" t="s">
        <v>1059</v>
      </c>
      <c r="C196" s="561"/>
      <c r="D196" s="561"/>
      <c r="E196" s="561"/>
      <c r="F196" s="561"/>
      <c r="G196" s="138"/>
      <c r="H196" s="75"/>
      <c r="I196" s="196"/>
      <c r="J196" s="196">
        <v>466643.84</v>
      </c>
      <c r="L196" s="547" t="s">
        <v>1058</v>
      </c>
    </row>
    <row r="197" spans="1:23" ht="15" customHeight="1" thickBot="1" x14ac:dyDescent="0.3">
      <c r="A197" s="158">
        <v>7</v>
      </c>
      <c r="B197" s="555" t="s">
        <v>967</v>
      </c>
      <c r="C197" s="160"/>
      <c r="D197" s="160"/>
      <c r="E197" s="160"/>
      <c r="F197" s="160"/>
      <c r="G197" s="161"/>
      <c r="H197" s="94">
        <v>4589</v>
      </c>
      <c r="I197" s="452">
        <f>+ROUND((H197/$L$3),2)</f>
        <v>609.29999999999995</v>
      </c>
      <c r="J197" s="452">
        <v>3538.79</v>
      </c>
      <c r="L197" s="321" t="s">
        <v>968</v>
      </c>
    </row>
    <row r="198" spans="1:23" ht="23.45" customHeight="1" thickTop="1" thickBot="1" x14ac:dyDescent="0.3">
      <c r="A198" s="95"/>
      <c r="B198" s="110" t="s">
        <v>542</v>
      </c>
      <c r="C198" s="95"/>
      <c r="D198" s="95"/>
      <c r="E198" s="95"/>
      <c r="F198" s="95"/>
      <c r="G198" s="96"/>
      <c r="H198" s="96">
        <f>SUM(H188:H197)</f>
        <v>275378636</v>
      </c>
      <c r="I198" s="454">
        <f>SUM(I188:I197)</f>
        <v>36562982.43</v>
      </c>
      <c r="J198" s="454">
        <f>SUM(J188:J197)</f>
        <v>102323712.34</v>
      </c>
      <c r="L198" s="455">
        <f>J198-'RDG '!L45</f>
        <v>0</v>
      </c>
    </row>
    <row r="199" spans="1:23" ht="18" customHeight="1" thickTop="1" x14ac:dyDescent="0.25">
      <c r="A199" s="65"/>
      <c r="B199" s="111"/>
      <c r="C199" s="97"/>
      <c r="D199" s="97"/>
      <c r="E199" s="97"/>
      <c r="F199" s="97"/>
      <c r="G199" s="97"/>
      <c r="H199" s="449"/>
      <c r="I199" s="449"/>
      <c r="J199" s="97"/>
      <c r="L199" s="455">
        <f>H198/L3</f>
        <v>36562982.432474062</v>
      </c>
    </row>
    <row r="200" spans="1:23" ht="21" customHeight="1" x14ac:dyDescent="0.25">
      <c r="A200" s="71" t="s">
        <v>520</v>
      </c>
      <c r="B200" s="74" t="s">
        <v>521</v>
      </c>
      <c r="C200" s="97"/>
      <c r="D200" s="107"/>
      <c r="E200" s="83"/>
      <c r="F200" s="83"/>
      <c r="G200" s="83"/>
    </row>
    <row r="201" spans="1:23" ht="15.75" thickBot="1" x14ac:dyDescent="0.3">
      <c r="A201" s="71"/>
      <c r="B201" s="74"/>
      <c r="C201" s="97"/>
      <c r="D201" s="107"/>
      <c r="E201" s="83"/>
      <c r="F201" s="83"/>
      <c r="G201" s="83"/>
      <c r="H201" s="22" t="s">
        <v>171</v>
      </c>
      <c r="I201" s="22"/>
      <c r="J201" s="22" t="s">
        <v>1005</v>
      </c>
    </row>
    <row r="202" spans="1:23" ht="31.5" customHeight="1" thickTop="1" thickBot="1" x14ac:dyDescent="0.3">
      <c r="A202" s="79" t="s">
        <v>266</v>
      </c>
      <c r="B202" s="80" t="s">
        <v>265</v>
      </c>
      <c r="C202" s="81"/>
      <c r="D202" s="81"/>
      <c r="E202" s="81"/>
      <c r="F202" s="81"/>
      <c r="G202" s="81"/>
      <c r="H202" s="82" t="str">
        <f>H7</f>
        <v>2022.</v>
      </c>
      <c r="I202" s="82" t="str">
        <f>I7</f>
        <v>2022.</v>
      </c>
      <c r="J202" s="82" t="str">
        <f>J7</f>
        <v>2023.</v>
      </c>
    </row>
    <row r="203" spans="1:23" ht="15" hidden="1" customHeight="1" thickTop="1" x14ac:dyDescent="0.25">
      <c r="A203" s="84">
        <v>1</v>
      </c>
      <c r="B203" s="151" t="s">
        <v>390</v>
      </c>
      <c r="C203" s="85"/>
      <c r="D203" s="85"/>
      <c r="E203" s="86"/>
      <c r="F203" s="86"/>
      <c r="G203" s="86"/>
      <c r="H203" s="87"/>
      <c r="I203" s="87"/>
      <c r="J203" s="87"/>
      <c r="L203" s="320" t="s">
        <v>522</v>
      </c>
    </row>
    <row r="204" spans="1:23" ht="30.75" customHeight="1" thickTop="1" thickBot="1" x14ac:dyDescent="0.3">
      <c r="A204" s="380">
        <v>1</v>
      </c>
      <c r="B204" s="732" t="s">
        <v>391</v>
      </c>
      <c r="C204" s="733"/>
      <c r="D204" s="733"/>
      <c r="E204" s="733"/>
      <c r="F204" s="733"/>
      <c r="G204" s="93"/>
      <c r="H204" s="94">
        <v>-1190387793</v>
      </c>
      <c r="I204" s="196">
        <f>+ROUND((H204/$L$3),2)-13737987.72</f>
        <v>-171789928.84</v>
      </c>
      <c r="J204" s="452">
        <f>-7529772.11+13737987.72</f>
        <v>6208215.6100000003</v>
      </c>
      <c r="L204" s="320" t="s">
        <v>978</v>
      </c>
    </row>
    <row r="205" spans="1:23" ht="18" customHeight="1" thickTop="1" thickBot="1" x14ac:dyDescent="0.3">
      <c r="A205" s="95"/>
      <c r="B205" s="95" t="s">
        <v>854</v>
      </c>
      <c r="C205" s="95"/>
      <c r="D205" s="95"/>
      <c r="E205" s="95"/>
      <c r="F205" s="95"/>
      <c r="G205" s="96"/>
      <c r="H205" s="96">
        <f>SUM(H203:H204)</f>
        <v>-1190387793</v>
      </c>
      <c r="I205" s="454">
        <f>SUM(I203:I204)</f>
        <v>-171789928.84</v>
      </c>
      <c r="J205" s="454">
        <f>SUM(J203:J204)</f>
        <v>6208215.6100000003</v>
      </c>
      <c r="L205" s="455">
        <f>J205-'RDG '!L62</f>
        <v>0</v>
      </c>
    </row>
    <row r="206" spans="1:23" ht="18" customHeight="1" thickTop="1" x14ac:dyDescent="0.25">
      <c r="A206" s="100"/>
      <c r="B206" s="100"/>
      <c r="C206" s="100"/>
      <c r="D206" s="100"/>
      <c r="E206" s="100"/>
      <c r="F206" s="100"/>
      <c r="G206" s="112"/>
      <c r="H206" s="112"/>
      <c r="I206" s="112"/>
      <c r="J206" s="112"/>
      <c r="L206" s="459"/>
    </row>
    <row r="207" spans="1:23" ht="18" customHeight="1" x14ac:dyDescent="0.25">
      <c r="A207" s="71" t="s">
        <v>523</v>
      </c>
      <c r="B207" s="74" t="s">
        <v>524</v>
      </c>
      <c r="C207" s="100"/>
      <c r="D207" s="100"/>
      <c r="E207" s="100"/>
      <c r="F207" s="100"/>
      <c r="G207" s="112"/>
      <c r="H207" s="112"/>
      <c r="I207" s="112"/>
      <c r="J207" s="112"/>
      <c r="N207" s="71" t="s">
        <v>520</v>
      </c>
      <c r="O207" s="444" t="s">
        <v>524</v>
      </c>
      <c r="P207" s="100"/>
      <c r="Q207" s="100"/>
      <c r="R207" s="100"/>
      <c r="S207" s="100"/>
      <c r="T207" s="112"/>
      <c r="U207" s="112"/>
      <c r="V207" s="112"/>
      <c r="W207" s="112"/>
    </row>
    <row r="208" spans="1:23" ht="15.75" thickBot="1" x14ac:dyDescent="0.3">
      <c r="A208" s="65"/>
      <c r="B208" s="97"/>
      <c r="H208" s="22"/>
      <c r="I208" s="22"/>
      <c r="J208" s="22" t="s">
        <v>1005</v>
      </c>
      <c r="K208" s="106"/>
      <c r="N208" s="65"/>
      <c r="O208" s="449"/>
      <c r="W208" s="162" t="s">
        <v>434</v>
      </c>
    </row>
    <row r="209" spans="1:23" ht="15" customHeight="1" thickTop="1" thickBot="1" x14ac:dyDescent="0.3">
      <c r="A209" s="771" t="s">
        <v>266</v>
      </c>
      <c r="B209" s="778" t="s">
        <v>265</v>
      </c>
      <c r="C209" s="163"/>
      <c r="D209" s="164" t="str">
        <f>H7</f>
        <v>2022.</v>
      </c>
      <c r="E209" s="165"/>
      <c r="F209" s="783" t="str">
        <f>J7</f>
        <v>2023.</v>
      </c>
      <c r="G209" s="783"/>
      <c r="H209" s="783"/>
      <c r="I209" s="783"/>
      <c r="J209" s="783"/>
      <c r="K209" s="166"/>
      <c r="L209" s="315"/>
      <c r="N209" s="771" t="s">
        <v>266</v>
      </c>
      <c r="O209" s="778" t="s">
        <v>265</v>
      </c>
      <c r="P209" s="163"/>
      <c r="Q209" s="446" t="s">
        <v>829</v>
      </c>
      <c r="R209" s="165"/>
      <c r="S209" s="783" t="s">
        <v>911</v>
      </c>
      <c r="T209" s="783"/>
      <c r="U209" s="783"/>
      <c r="V209" s="783"/>
      <c r="W209" s="783"/>
    </row>
    <row r="210" spans="1:23" ht="30.75" thickBot="1" x14ac:dyDescent="0.3">
      <c r="A210" s="788"/>
      <c r="B210" s="789"/>
      <c r="C210" s="167"/>
      <c r="D210" s="168" t="s">
        <v>1012</v>
      </c>
      <c r="E210" s="169"/>
      <c r="F210" s="168" t="s">
        <v>525</v>
      </c>
      <c r="G210" s="168"/>
      <c r="H210" s="582"/>
      <c r="I210" s="168" t="s">
        <v>526</v>
      </c>
      <c r="J210" s="168" t="s">
        <v>527</v>
      </c>
      <c r="K210" s="170"/>
      <c r="L210" s="319"/>
      <c r="N210" s="772"/>
      <c r="O210" s="779"/>
      <c r="P210" s="167"/>
      <c r="Q210" s="168" t="s">
        <v>912</v>
      </c>
      <c r="R210" s="169"/>
      <c r="S210" s="168" t="s">
        <v>525</v>
      </c>
      <c r="T210" s="168"/>
      <c r="U210" s="168" t="s">
        <v>526</v>
      </c>
      <c r="V210" s="168"/>
      <c r="W210" s="168" t="s">
        <v>527</v>
      </c>
    </row>
    <row r="211" spans="1:23" s="176" customFormat="1" ht="9.9499999999999993" customHeight="1" thickTop="1" x14ac:dyDescent="0.2">
      <c r="A211" s="171"/>
      <c r="B211" s="172"/>
      <c r="C211" s="173"/>
      <c r="D211" s="173">
        <v>1</v>
      </c>
      <c r="E211" s="172"/>
      <c r="F211" s="173">
        <v>2</v>
      </c>
      <c r="G211" s="173"/>
      <c r="H211" s="581"/>
      <c r="I211" s="173">
        <v>3</v>
      </c>
      <c r="J211" s="173" t="s">
        <v>528</v>
      </c>
      <c r="K211" s="174"/>
      <c r="L211" s="325"/>
      <c r="M211" s="175"/>
      <c r="N211" s="171"/>
      <c r="O211" s="172"/>
      <c r="P211" s="173"/>
      <c r="Q211" s="173">
        <v>1</v>
      </c>
      <c r="R211" s="172"/>
      <c r="S211" s="173">
        <v>2</v>
      </c>
      <c r="T211" s="173"/>
      <c r="U211" s="173">
        <v>3</v>
      </c>
      <c r="V211" s="173"/>
      <c r="W211" s="173" t="s">
        <v>528</v>
      </c>
    </row>
    <row r="212" spans="1:23" ht="14.25" customHeight="1" x14ac:dyDescent="0.25">
      <c r="A212" s="65">
        <v>1</v>
      </c>
      <c r="B212" s="113" t="s">
        <v>529</v>
      </c>
      <c r="C212" s="75"/>
      <c r="D212" s="467">
        <f>+ROUND((W212/L2),2)</f>
        <v>26577410.050000001</v>
      </c>
      <c r="E212" s="155"/>
      <c r="F212" s="467">
        <v>75774781.670000002</v>
      </c>
      <c r="G212" s="130"/>
      <c r="H212" s="578"/>
      <c r="I212" s="467">
        <f>41827938.32+751189.46</f>
        <v>42579127.780000001</v>
      </c>
      <c r="J212" s="467">
        <f>F212-I212</f>
        <v>33195653.890000001</v>
      </c>
      <c r="K212" s="75"/>
      <c r="L212" s="770" t="s">
        <v>979</v>
      </c>
      <c r="M212" s="734"/>
      <c r="N212" s="65">
        <v>1</v>
      </c>
      <c r="O212" s="447" t="s">
        <v>529</v>
      </c>
      <c r="P212" s="75"/>
      <c r="Q212" s="98">
        <v>118019627</v>
      </c>
      <c r="R212" s="155"/>
      <c r="S212" s="98">
        <v>465420731</v>
      </c>
      <c r="T212" s="130"/>
      <c r="U212" s="98">
        <f>260531185+4642050</f>
        <v>265173235</v>
      </c>
      <c r="V212" s="130"/>
      <c r="W212" s="98">
        <f>S212-U212</f>
        <v>200247496</v>
      </c>
    </row>
    <row r="213" spans="1:23" s="115" customFormat="1" ht="12.75" customHeight="1" x14ac:dyDescent="0.25">
      <c r="A213" s="104">
        <v>2</v>
      </c>
      <c r="B213" s="177" t="s">
        <v>530</v>
      </c>
      <c r="C213" s="102"/>
      <c r="D213" s="467"/>
      <c r="E213" s="77"/>
      <c r="F213" s="468"/>
      <c r="G213" s="178"/>
      <c r="H213" s="579"/>
      <c r="I213" s="468">
        <f>E213-G213</f>
        <v>0</v>
      </c>
      <c r="J213" s="467">
        <f>F213-I213</f>
        <v>0</v>
      </c>
      <c r="K213" s="102"/>
      <c r="L213" s="769" t="s">
        <v>837</v>
      </c>
      <c r="M213" s="734"/>
      <c r="N213" s="104">
        <v>2</v>
      </c>
      <c r="O213" s="177" t="s">
        <v>530</v>
      </c>
      <c r="P213" s="102"/>
      <c r="Q213" s="141">
        <v>0</v>
      </c>
      <c r="R213" s="77"/>
      <c r="S213" s="141">
        <v>2006850</v>
      </c>
      <c r="T213" s="178"/>
      <c r="U213" s="141">
        <v>2006850</v>
      </c>
      <c r="V213" s="178"/>
      <c r="W213" s="141">
        <f>S213-U213</f>
        <v>0</v>
      </c>
    </row>
    <row r="214" spans="1:23" ht="12.75" customHeight="1" x14ac:dyDescent="0.25">
      <c r="A214" s="65">
        <v>3</v>
      </c>
      <c r="B214" s="113" t="s">
        <v>531</v>
      </c>
      <c r="C214" s="75"/>
      <c r="D214" s="467">
        <f>+ROUND((W214/L2),2)</f>
        <v>7411818.1699999999</v>
      </c>
      <c r="E214" s="155"/>
      <c r="F214" s="467">
        <v>5017532.63</v>
      </c>
      <c r="G214" s="130"/>
      <c r="H214" s="579"/>
      <c r="I214" s="467">
        <f>E214-G214</f>
        <v>0</v>
      </c>
      <c r="J214" s="467">
        <f>F214-I214</f>
        <v>5017532.63</v>
      </c>
      <c r="K214" s="75"/>
      <c r="L214" s="564" t="s">
        <v>532</v>
      </c>
      <c r="N214" s="65">
        <v>3</v>
      </c>
      <c r="O214" s="447" t="s">
        <v>531</v>
      </c>
      <c r="P214" s="75"/>
      <c r="Q214" s="98">
        <v>32305538</v>
      </c>
      <c r="R214" s="155"/>
      <c r="S214" s="98">
        <v>55844344</v>
      </c>
      <c r="T214" s="130"/>
      <c r="U214" s="98"/>
      <c r="V214" s="130"/>
      <c r="W214" s="98">
        <f>S214-U214</f>
        <v>55844344</v>
      </c>
    </row>
    <row r="215" spans="1:23" ht="24" customHeight="1" thickBot="1" x14ac:dyDescent="0.3">
      <c r="A215" s="179"/>
      <c r="B215" s="180" t="s">
        <v>270</v>
      </c>
      <c r="C215" s="181"/>
      <c r="D215" s="469">
        <f>SUM(D212:D214)</f>
        <v>33989228.219999999</v>
      </c>
      <c r="E215" s="183"/>
      <c r="F215" s="469">
        <f>SUM(F212:F214)</f>
        <v>80792314.299999997</v>
      </c>
      <c r="G215" s="185"/>
      <c r="H215" s="580"/>
      <c r="I215" s="469">
        <f>SUM(I212:I214)</f>
        <v>42579127.780000001</v>
      </c>
      <c r="J215" s="469">
        <f>SUM(J212:J214)</f>
        <v>38213186.520000003</v>
      </c>
      <c r="K215" s="186"/>
      <c r="L215" s="455">
        <f>J215-BILANCA!L7</f>
        <v>0</v>
      </c>
      <c r="N215" s="179"/>
      <c r="O215" s="180" t="s">
        <v>270</v>
      </c>
      <c r="P215" s="181"/>
      <c r="Q215" s="182">
        <f>SUM(Q212:Q214)</f>
        <v>150325165</v>
      </c>
      <c r="R215" s="183"/>
      <c r="S215" s="184">
        <f>SUM(S212:S214)</f>
        <v>523271925</v>
      </c>
      <c r="T215" s="185"/>
      <c r="U215" s="184">
        <f>SUM(U212:U214)</f>
        <v>267180085</v>
      </c>
      <c r="V215" s="185"/>
      <c r="W215" s="184">
        <f>SUM(W212:W214)</f>
        <v>256091840</v>
      </c>
    </row>
    <row r="216" spans="1:23" ht="18" customHeight="1" x14ac:dyDescent="0.25">
      <c r="A216" s="65"/>
      <c r="B216" s="187"/>
      <c r="C216" s="90"/>
      <c r="D216" s="90"/>
      <c r="E216" s="188"/>
      <c r="F216" s="90"/>
      <c r="G216" s="188"/>
      <c r="H216" s="90"/>
      <c r="I216" s="90"/>
      <c r="J216" s="90"/>
      <c r="K216" s="186"/>
      <c r="L216" s="455">
        <f>W215/L2</f>
        <v>33989228.216869064</v>
      </c>
      <c r="N216" s="65"/>
      <c r="O216" s="187"/>
      <c r="P216" s="90"/>
      <c r="Q216" s="90"/>
      <c r="R216" s="188"/>
      <c r="S216" s="90"/>
      <c r="T216" s="188"/>
      <c r="U216" s="90"/>
      <c r="V216" s="188"/>
      <c r="W216" s="90"/>
    </row>
    <row r="217" spans="1:23" ht="21" customHeight="1" x14ac:dyDescent="0.25">
      <c r="A217" s="70" t="s">
        <v>533</v>
      </c>
      <c r="B217" s="731" t="s">
        <v>895</v>
      </c>
      <c r="C217" s="731"/>
      <c r="D217" s="731"/>
      <c r="E217" s="731"/>
      <c r="F217" s="734"/>
      <c r="G217" s="187"/>
      <c r="H217" s="449"/>
      <c r="I217" s="449"/>
      <c r="J217" s="97"/>
      <c r="L217" s="319"/>
      <c r="N217" s="70" t="s">
        <v>523</v>
      </c>
      <c r="O217" s="731" t="s">
        <v>895</v>
      </c>
      <c r="P217" s="731"/>
      <c r="Q217" s="731"/>
      <c r="R217" s="731"/>
      <c r="S217" s="734"/>
      <c r="T217" s="187"/>
      <c r="U217" s="188"/>
      <c r="V217" s="187"/>
      <c r="W217" s="449"/>
    </row>
    <row r="218" spans="1:23" ht="15.75" thickBot="1" x14ac:dyDescent="0.3">
      <c r="A218" s="65"/>
      <c r="B218" s="97"/>
      <c r="C218" s="97"/>
      <c r="D218" s="97"/>
      <c r="E218" s="97"/>
      <c r="F218" s="97"/>
      <c r="G218" s="97"/>
      <c r="H218" s="22"/>
      <c r="I218" s="22"/>
      <c r="J218" s="22" t="s">
        <v>1005</v>
      </c>
      <c r="K218" s="106"/>
      <c r="L218" s="319"/>
      <c r="N218" s="65"/>
      <c r="O218" s="449"/>
      <c r="P218" s="449"/>
      <c r="Q218" s="449"/>
      <c r="R218" s="449"/>
      <c r="S218" s="449"/>
      <c r="T218" s="449"/>
      <c r="U218" s="449"/>
      <c r="V218" s="83"/>
      <c r="W218" s="189" t="s">
        <v>434</v>
      </c>
    </row>
    <row r="219" spans="1:23" ht="15.75" customHeight="1" thickTop="1" thickBot="1" x14ac:dyDescent="0.3">
      <c r="A219" s="771" t="s">
        <v>266</v>
      </c>
      <c r="B219" s="778" t="s">
        <v>265</v>
      </c>
      <c r="C219" s="163"/>
      <c r="D219" s="164" t="str">
        <f>H7</f>
        <v>2022.</v>
      </c>
      <c r="E219" s="165"/>
      <c r="F219" s="783" t="str">
        <f>J7</f>
        <v>2023.</v>
      </c>
      <c r="G219" s="783"/>
      <c r="H219" s="783"/>
      <c r="I219" s="783"/>
      <c r="J219" s="783"/>
      <c r="K219" s="88"/>
      <c r="L219" s="319"/>
      <c r="N219" s="771" t="s">
        <v>266</v>
      </c>
      <c r="O219" s="778" t="s">
        <v>265</v>
      </c>
      <c r="P219" s="163"/>
      <c r="Q219" s="446" t="s">
        <v>829</v>
      </c>
      <c r="R219" s="165"/>
      <c r="S219" s="783" t="s">
        <v>911</v>
      </c>
      <c r="T219" s="783"/>
      <c r="U219" s="783"/>
      <c r="V219" s="783"/>
      <c r="W219" s="783"/>
    </row>
    <row r="220" spans="1:23" ht="30.75" thickBot="1" x14ac:dyDescent="0.3">
      <c r="A220" s="788"/>
      <c r="B220" s="789"/>
      <c r="C220" s="167"/>
      <c r="D220" s="168" t="s">
        <v>1012</v>
      </c>
      <c r="E220" s="169"/>
      <c r="F220" s="168" t="s">
        <v>525</v>
      </c>
      <c r="G220" s="168"/>
      <c r="H220" s="466"/>
      <c r="I220" s="168" t="s">
        <v>526</v>
      </c>
      <c r="J220" s="168" t="s">
        <v>527</v>
      </c>
      <c r="K220" s="170"/>
      <c r="L220" s="321" t="s">
        <v>534</v>
      </c>
      <c r="N220" s="772"/>
      <c r="O220" s="779"/>
      <c r="P220" s="167"/>
      <c r="Q220" s="168" t="s">
        <v>912</v>
      </c>
      <c r="R220" s="169"/>
      <c r="S220" s="168" t="s">
        <v>525</v>
      </c>
      <c r="T220" s="168"/>
      <c r="U220" s="168" t="s">
        <v>526</v>
      </c>
      <c r="V220" s="168"/>
      <c r="W220" s="168" t="s">
        <v>527</v>
      </c>
    </row>
    <row r="221" spans="1:23" s="195" customFormat="1" ht="9.9499999999999993" customHeight="1" thickTop="1" x14ac:dyDescent="0.2">
      <c r="A221" s="190"/>
      <c r="B221" s="191"/>
      <c r="C221" s="192"/>
      <c r="D221" s="173">
        <v>1</v>
      </c>
      <c r="E221" s="172"/>
      <c r="F221" s="173">
        <v>2</v>
      </c>
      <c r="G221" s="173"/>
      <c r="H221" s="173"/>
      <c r="I221" s="173">
        <v>3</v>
      </c>
      <c r="J221" s="173" t="s">
        <v>528</v>
      </c>
      <c r="K221" s="193"/>
      <c r="L221" s="321"/>
      <c r="M221" s="194"/>
      <c r="N221" s="190"/>
      <c r="O221" s="191"/>
      <c r="P221" s="192"/>
      <c r="Q221" s="173">
        <v>1</v>
      </c>
      <c r="R221" s="172"/>
      <c r="S221" s="173">
        <v>2</v>
      </c>
      <c r="T221" s="173"/>
      <c r="U221" s="173">
        <v>3</v>
      </c>
      <c r="V221" s="173"/>
      <c r="W221" s="173" t="s">
        <v>528</v>
      </c>
    </row>
    <row r="222" spans="1:23" ht="15" customHeight="1" x14ac:dyDescent="0.25">
      <c r="A222" s="88">
        <v>1</v>
      </c>
      <c r="B222" s="97" t="s">
        <v>278</v>
      </c>
      <c r="C222" s="75"/>
      <c r="D222" s="467">
        <f>+ROUND((W222/L2),2)</f>
        <v>8590160.3300000001</v>
      </c>
      <c r="E222" s="196"/>
      <c r="F222" s="468">
        <v>8590531.5899999999</v>
      </c>
      <c r="G222" s="141"/>
      <c r="H222" s="565"/>
      <c r="I222" s="468">
        <v>0</v>
      </c>
      <c r="J222" s="468">
        <f t="shared" ref="J222:J228" si="7">F222-I222</f>
        <v>8590531.5899999999</v>
      </c>
      <c r="K222" s="105"/>
      <c r="L222" s="321" t="s">
        <v>535</v>
      </c>
      <c r="N222" s="88">
        <v>1</v>
      </c>
      <c r="O222" s="449" t="s">
        <v>278</v>
      </c>
      <c r="P222" s="75"/>
      <c r="Q222" s="98">
        <v>64455685</v>
      </c>
      <c r="R222" s="196"/>
      <c r="S222" s="141">
        <v>64722563</v>
      </c>
      <c r="T222" s="141"/>
      <c r="U222" s="141"/>
      <c r="V222" s="141"/>
      <c r="W222" s="141">
        <f>S222-U222</f>
        <v>64722563</v>
      </c>
    </row>
    <row r="223" spans="1:23" ht="12.75" customHeight="1" x14ac:dyDescent="0.25">
      <c r="A223" s="88">
        <v>2</v>
      </c>
      <c r="B223" s="97" t="s">
        <v>277</v>
      </c>
      <c r="C223" s="75"/>
      <c r="D223" s="467">
        <f>+ROUND((W223/L2),2)-2660256.63</f>
        <v>24561766.07</v>
      </c>
      <c r="E223" s="196"/>
      <c r="F223" s="468">
        <v>38816684.390000001</v>
      </c>
      <c r="G223" s="141"/>
      <c r="H223" s="565"/>
      <c r="I223" s="577">
        <v>15362978.289999999</v>
      </c>
      <c r="J223" s="468">
        <f t="shared" si="7"/>
        <v>23453706.100000001</v>
      </c>
      <c r="K223" s="105"/>
      <c r="L223" s="769" t="s">
        <v>982</v>
      </c>
      <c r="M223" s="734"/>
      <c r="N223" s="88">
        <v>2</v>
      </c>
      <c r="O223" s="449" t="s">
        <v>277</v>
      </c>
      <c r="P223" s="75"/>
      <c r="Q223" s="98">
        <v>159127382</v>
      </c>
      <c r="R223" s="196"/>
      <c r="S223" s="141">
        <v>313549561</v>
      </c>
      <c r="T223" s="141"/>
      <c r="U223" s="141">
        <v>108445231</v>
      </c>
      <c r="V223" s="141"/>
      <c r="W223" s="141">
        <f t="shared" ref="W223:W228" si="8">S223-U223</f>
        <v>205104330</v>
      </c>
    </row>
    <row r="224" spans="1:23" ht="14.25" customHeight="1" x14ac:dyDescent="0.25">
      <c r="A224" s="88">
        <v>3</v>
      </c>
      <c r="B224" s="97" t="s">
        <v>536</v>
      </c>
      <c r="C224" s="75"/>
      <c r="D224" s="467">
        <f>+ROUND((W224/L2),2)</f>
        <v>12835401.689999999</v>
      </c>
      <c r="E224" s="196"/>
      <c r="F224" s="468">
        <v>52542737.759999998</v>
      </c>
      <c r="G224" s="141"/>
      <c r="H224" s="565"/>
      <c r="I224" s="577">
        <f>30532888.14+127457.4+1443158.59</f>
        <v>32103504.129999999</v>
      </c>
      <c r="J224" s="468">
        <f t="shared" si="7"/>
        <v>20439233.629999999</v>
      </c>
      <c r="K224" s="105"/>
      <c r="L224" s="769" t="s">
        <v>983</v>
      </c>
      <c r="M224" s="734"/>
      <c r="N224" s="88">
        <v>3</v>
      </c>
      <c r="O224" s="449" t="s">
        <v>536</v>
      </c>
      <c r="P224" s="75"/>
      <c r="Q224" s="98">
        <v>99165264</v>
      </c>
      <c r="R224" s="196"/>
      <c r="S224" s="141">
        <v>310091868</v>
      </c>
      <c r="T224" s="141"/>
      <c r="U224" s="141">
        <f>204628913+7897256+857365</f>
        <v>213383534</v>
      </c>
      <c r="V224" s="141"/>
      <c r="W224" s="141">
        <f t="shared" si="8"/>
        <v>96708334</v>
      </c>
    </row>
    <row r="225" spans="1:23" ht="25.5" customHeight="1" x14ac:dyDescent="0.25">
      <c r="A225" s="375">
        <v>4</v>
      </c>
      <c r="B225" s="113" t="s">
        <v>537</v>
      </c>
      <c r="C225" s="75"/>
      <c r="D225" s="467">
        <f>+ROUND((W225/L2),2)</f>
        <v>689956.87</v>
      </c>
      <c r="E225" s="196"/>
      <c r="F225" s="468">
        <v>4429717.67</v>
      </c>
      <c r="G225" s="141"/>
      <c r="H225" s="565"/>
      <c r="I225" s="577">
        <f>3867522.69+7555.4+7261.66</f>
        <v>3882339.75</v>
      </c>
      <c r="J225" s="468">
        <f t="shared" si="7"/>
        <v>547377.91999999993</v>
      </c>
      <c r="K225" s="105"/>
      <c r="L225" s="321" t="s">
        <v>839</v>
      </c>
      <c r="N225" s="375">
        <v>4</v>
      </c>
      <c r="O225" s="447" t="s">
        <v>537</v>
      </c>
      <c r="P225" s="75"/>
      <c r="Q225" s="98">
        <v>6298883</v>
      </c>
      <c r="R225" s="196"/>
      <c r="S225" s="141">
        <v>33180092</v>
      </c>
      <c r="T225" s="141"/>
      <c r="U225" s="141">
        <f>27879204+47695+54713</f>
        <v>27981612</v>
      </c>
      <c r="V225" s="141"/>
      <c r="W225" s="141">
        <f t="shared" si="8"/>
        <v>5198480</v>
      </c>
    </row>
    <row r="226" spans="1:23" ht="15" customHeight="1" x14ac:dyDescent="0.25">
      <c r="A226" s="88">
        <v>5</v>
      </c>
      <c r="B226" s="97" t="s">
        <v>538</v>
      </c>
      <c r="C226" s="83"/>
      <c r="D226" s="467">
        <f>+ROUND((W226/L2),2)</f>
        <v>18161812.859999999</v>
      </c>
      <c r="E226" s="196"/>
      <c r="F226" s="468">
        <f>J245</f>
        <v>10434858.75</v>
      </c>
      <c r="G226" s="141"/>
      <c r="H226" s="565"/>
      <c r="I226" s="468">
        <f>E226-G226</f>
        <v>0</v>
      </c>
      <c r="J226" s="468">
        <f t="shared" si="7"/>
        <v>10434858.75</v>
      </c>
      <c r="K226" s="75"/>
      <c r="L226" s="326" t="s">
        <v>980</v>
      </c>
      <c r="N226" s="88">
        <v>5</v>
      </c>
      <c r="O226" s="449" t="s">
        <v>538</v>
      </c>
      <c r="P226" s="83"/>
      <c r="Q226" s="98">
        <v>127745748</v>
      </c>
      <c r="R226" s="196"/>
      <c r="S226" s="141">
        <v>136840179</v>
      </c>
      <c r="T226" s="141"/>
      <c r="U226" s="141"/>
      <c r="V226" s="141"/>
      <c r="W226" s="141">
        <f t="shared" si="8"/>
        <v>136840179</v>
      </c>
    </row>
    <row r="227" spans="1:23" ht="15" customHeight="1" x14ac:dyDescent="0.25">
      <c r="A227" s="88">
        <v>6</v>
      </c>
      <c r="B227" s="97" t="s">
        <v>539</v>
      </c>
      <c r="C227" s="75"/>
      <c r="D227" s="467">
        <f>+ROUND((W227/L2),2)</f>
        <v>167033216.94</v>
      </c>
      <c r="E227" s="196"/>
      <c r="F227" s="468">
        <f>55590813.37-5017532.63+8037198.51+180389296.81-531033.2</f>
        <v>238468742.86000001</v>
      </c>
      <c r="G227" s="141"/>
      <c r="H227" s="565"/>
      <c r="I227" s="468">
        <v>11364634.210000001</v>
      </c>
      <c r="J227" s="468">
        <f t="shared" si="7"/>
        <v>227104108.65000001</v>
      </c>
      <c r="K227" s="105"/>
      <c r="L227" s="769" t="s">
        <v>838</v>
      </c>
      <c r="M227" s="734"/>
      <c r="N227" s="88">
        <v>6</v>
      </c>
      <c r="O227" s="449" t="s">
        <v>539</v>
      </c>
      <c r="P227" s="75"/>
      <c r="Q227" s="98">
        <v>964722187</v>
      </c>
      <c r="R227" s="196"/>
      <c r="S227" s="141">
        <f>406607584-55844344+22509174+977390492-6524297</f>
        <v>1344138609</v>
      </c>
      <c r="T227" s="141"/>
      <c r="U227" s="141">
        <v>85626836</v>
      </c>
      <c r="V227" s="141"/>
      <c r="W227" s="141">
        <f t="shared" si="8"/>
        <v>1258511773</v>
      </c>
    </row>
    <row r="228" spans="1:23" ht="14.25" customHeight="1" x14ac:dyDescent="0.25">
      <c r="A228" s="88">
        <v>7</v>
      </c>
      <c r="B228" s="97" t="s">
        <v>540</v>
      </c>
      <c r="C228" s="83"/>
      <c r="D228" s="467">
        <f>+ROUND((W228/L2),2)</f>
        <v>45496.58</v>
      </c>
      <c r="E228" s="196"/>
      <c r="F228" s="473">
        <v>46132.7</v>
      </c>
      <c r="G228" s="141"/>
      <c r="H228" s="565"/>
      <c r="I228" s="468">
        <v>636.19000000000005</v>
      </c>
      <c r="J228" s="468">
        <f t="shared" si="7"/>
        <v>45496.509999999995</v>
      </c>
      <c r="K228" s="105"/>
      <c r="L228" s="321" t="s">
        <v>541</v>
      </c>
      <c r="N228" s="88">
        <v>7</v>
      </c>
      <c r="O228" s="449" t="s">
        <v>540</v>
      </c>
      <c r="P228" s="83"/>
      <c r="Q228" s="98">
        <v>342793</v>
      </c>
      <c r="R228" s="196"/>
      <c r="S228" s="178">
        <v>347587</v>
      </c>
      <c r="T228" s="141"/>
      <c r="U228" s="141">
        <f>4793</f>
        <v>4793</v>
      </c>
      <c r="V228" s="141"/>
      <c r="W228" s="141">
        <f t="shared" si="8"/>
        <v>342794</v>
      </c>
    </row>
    <row r="229" spans="1:23" s="73" customFormat="1" ht="20.45" customHeight="1" x14ac:dyDescent="0.25">
      <c r="A229" s="197"/>
      <c r="B229" s="198" t="s">
        <v>542</v>
      </c>
      <c r="C229" s="199"/>
      <c r="D229" s="470">
        <f>SUM(D222:D228)</f>
        <v>231917811.34</v>
      </c>
      <c r="E229" s="201"/>
      <c r="F229" s="474">
        <f>SUM(F222:F228)</f>
        <v>353329405.72000003</v>
      </c>
      <c r="G229" s="200"/>
      <c r="H229" s="463"/>
      <c r="I229" s="470">
        <f>SUM(I222:I228)</f>
        <v>62714092.57</v>
      </c>
      <c r="J229" s="470">
        <f>SUM(J222:J228)</f>
        <v>290615313.14999998</v>
      </c>
      <c r="K229" s="186"/>
      <c r="L229" s="327"/>
      <c r="M229" s="203"/>
      <c r="N229" s="197"/>
      <c r="O229" s="198" t="s">
        <v>542</v>
      </c>
      <c r="P229" s="199"/>
      <c r="Q229" s="200">
        <f>SUM(Q222:Q228)</f>
        <v>1421857942</v>
      </c>
      <c r="R229" s="201"/>
      <c r="S229" s="202">
        <f>SUM(S222:S228)</f>
        <v>2202870459</v>
      </c>
      <c r="T229" s="200"/>
      <c r="U229" s="200">
        <f>SUM(U222:U228)</f>
        <v>435442006</v>
      </c>
      <c r="V229" s="200"/>
      <c r="W229" s="200">
        <f>SUM(W222:W228)</f>
        <v>1767428453</v>
      </c>
    </row>
    <row r="230" spans="1:23" ht="15.75" thickBot="1" x14ac:dyDescent="0.3">
      <c r="A230" s="65">
        <v>8</v>
      </c>
      <c r="B230" s="97" t="s">
        <v>543</v>
      </c>
      <c r="C230" s="83"/>
      <c r="D230" s="467">
        <f>+ROUND((W230/$L$2),2)+2660256.63</f>
        <v>6276240.04</v>
      </c>
      <c r="E230" s="205"/>
      <c r="F230" s="471">
        <v>6565800</v>
      </c>
      <c r="G230" s="204"/>
      <c r="H230" s="464"/>
      <c r="I230" s="471">
        <f>E230-G230</f>
        <v>0</v>
      </c>
      <c r="J230" s="471">
        <f>F230-H230</f>
        <v>6565800</v>
      </c>
      <c r="K230" s="75"/>
      <c r="L230" s="321" t="s">
        <v>544</v>
      </c>
      <c r="N230" s="65">
        <v>8</v>
      </c>
      <c r="O230" s="449" t="s">
        <v>543</v>
      </c>
      <c r="P230" s="83"/>
      <c r="Q230" s="204">
        <v>23514310</v>
      </c>
      <c r="R230" s="205"/>
      <c r="S230" s="204">
        <v>27244627</v>
      </c>
      <c r="T230" s="204"/>
      <c r="U230" s="204">
        <v>0</v>
      </c>
      <c r="V230" s="204"/>
      <c r="W230" s="204">
        <f>S230-U230</f>
        <v>27244627</v>
      </c>
    </row>
    <row r="231" spans="1:23" ht="21" customHeight="1" thickBot="1" x14ac:dyDescent="0.3">
      <c r="A231" s="206"/>
      <c r="B231" s="198" t="s">
        <v>326</v>
      </c>
      <c r="C231" s="207"/>
      <c r="D231" s="475">
        <f>SUM(D229:D230)</f>
        <v>238194051.38</v>
      </c>
      <c r="E231" s="207"/>
      <c r="F231" s="472">
        <f>SUM(F229:F230)</f>
        <v>359895205.72000003</v>
      </c>
      <c r="G231" s="208"/>
      <c r="H231" s="465"/>
      <c r="I231" s="472">
        <f>SUM(I229:I230)</f>
        <v>62714092.57</v>
      </c>
      <c r="J231" s="472">
        <f>SUM(J229:J230)</f>
        <v>297181113.14999998</v>
      </c>
      <c r="K231" s="186"/>
      <c r="L231" s="489">
        <f>J231-BILANCA!L14</f>
        <v>0</v>
      </c>
      <c r="N231" s="206"/>
      <c r="O231" s="198" t="s">
        <v>326</v>
      </c>
      <c r="P231" s="207"/>
      <c r="Q231" s="207">
        <f>SUM(Q229:Q230)</f>
        <v>1445372252</v>
      </c>
      <c r="R231" s="207"/>
      <c r="S231" s="208">
        <f>SUM(S229:S230)</f>
        <v>2230115086</v>
      </c>
      <c r="T231" s="208"/>
      <c r="U231" s="208">
        <f>SUM(U229:U230)</f>
        <v>435442006</v>
      </c>
      <c r="V231" s="208"/>
      <c r="W231" s="208">
        <f>SUM(W229:W230)</f>
        <v>1794673080</v>
      </c>
    </row>
    <row r="232" spans="1:23" ht="18" customHeight="1" x14ac:dyDescent="0.25">
      <c r="A232" s="65"/>
      <c r="B232" s="187"/>
      <c r="C232" s="90"/>
      <c r="D232" s="90"/>
      <c r="E232" s="90"/>
      <c r="F232" s="90"/>
      <c r="G232" s="90"/>
      <c r="H232" s="90"/>
      <c r="I232" s="90"/>
      <c r="J232" s="90"/>
      <c r="K232" s="186"/>
      <c r="L232" s="455">
        <f>W231/L2</f>
        <v>238194051.36372685</v>
      </c>
    </row>
    <row r="233" spans="1:23" ht="21" customHeight="1" x14ac:dyDescent="0.25">
      <c r="A233" s="70" t="s">
        <v>545</v>
      </c>
      <c r="B233" s="731" t="s">
        <v>546</v>
      </c>
      <c r="C233" s="731"/>
      <c r="D233" s="731"/>
      <c r="E233" s="90"/>
      <c r="F233" s="90"/>
      <c r="G233" s="90"/>
      <c r="H233" s="90"/>
      <c r="I233" s="90"/>
      <c r="J233" s="90"/>
      <c r="K233" s="186"/>
      <c r="L233" s="319"/>
    </row>
    <row r="234" spans="1:23" ht="17.100000000000001" customHeight="1" thickBot="1" x14ac:dyDescent="0.3">
      <c r="A234" s="65"/>
      <c r="B234" s="187"/>
      <c r="C234" s="90"/>
      <c r="D234" s="90"/>
      <c r="E234" s="90"/>
      <c r="F234" s="90"/>
      <c r="G234" s="90"/>
      <c r="H234" s="22" t="s">
        <v>171</v>
      </c>
      <c r="I234" s="22"/>
      <c r="J234" s="22" t="s">
        <v>1005</v>
      </c>
      <c r="K234" s="186"/>
      <c r="L234" s="319"/>
    </row>
    <row r="235" spans="1:23" ht="30.75" customHeight="1" thickTop="1" thickBot="1" x14ac:dyDescent="0.3">
      <c r="A235" s="79" t="s">
        <v>266</v>
      </c>
      <c r="B235" s="80" t="s">
        <v>265</v>
      </c>
      <c r="C235" s="81"/>
      <c r="D235" s="81"/>
      <c r="E235" s="81"/>
      <c r="F235" s="81"/>
      <c r="G235" s="81"/>
      <c r="H235" s="82" t="str">
        <f>H7</f>
        <v>2022.</v>
      </c>
      <c r="I235" s="82" t="str">
        <f>I7</f>
        <v>2022.</v>
      </c>
      <c r="J235" s="82" t="str">
        <f>J7</f>
        <v>2023.</v>
      </c>
      <c r="K235" s="186"/>
      <c r="L235" s="319"/>
    </row>
    <row r="236" spans="1:23" ht="20.25" hidden="1" customHeight="1" thickTop="1" x14ac:dyDescent="0.25">
      <c r="A236" s="88">
        <v>1</v>
      </c>
      <c r="B236" s="97" t="s">
        <v>547</v>
      </c>
      <c r="C236" s="90"/>
      <c r="D236" s="90"/>
      <c r="E236" s="90"/>
      <c r="F236" s="90"/>
      <c r="G236" s="90"/>
      <c r="H236" s="75"/>
      <c r="I236" s="75"/>
      <c r="J236" s="75"/>
      <c r="K236" s="186"/>
      <c r="L236" s="321"/>
    </row>
    <row r="237" spans="1:23" ht="20.25" hidden="1" customHeight="1" x14ac:dyDescent="0.25">
      <c r="A237" s="88">
        <v>2</v>
      </c>
      <c r="B237" s="97" t="s">
        <v>548</v>
      </c>
      <c r="C237" s="90"/>
      <c r="D237" s="90"/>
      <c r="E237" s="90"/>
      <c r="F237" s="90"/>
      <c r="G237" s="90"/>
      <c r="H237" s="75"/>
      <c r="I237" s="75"/>
      <c r="J237" s="75"/>
      <c r="K237" s="186"/>
      <c r="L237" s="321"/>
    </row>
    <row r="238" spans="1:23" ht="20.25" hidden="1" customHeight="1" x14ac:dyDescent="0.25">
      <c r="A238" s="88">
        <v>3</v>
      </c>
      <c r="B238" s="97" t="s">
        <v>549</v>
      </c>
      <c r="C238" s="90"/>
      <c r="D238" s="90"/>
      <c r="E238" s="90"/>
      <c r="F238" s="90"/>
      <c r="G238" s="90"/>
      <c r="H238" s="75"/>
      <c r="I238" s="75"/>
      <c r="J238" s="75"/>
      <c r="K238" s="186"/>
      <c r="L238" s="321"/>
      <c r="M238" s="119"/>
    </row>
    <row r="239" spans="1:23" ht="20.25" hidden="1" customHeight="1" x14ac:dyDescent="0.25">
      <c r="A239" s="88">
        <v>4</v>
      </c>
      <c r="B239" s="97" t="s">
        <v>550</v>
      </c>
      <c r="C239" s="90"/>
      <c r="D239" s="90"/>
      <c r="E239" s="90"/>
      <c r="F239" s="90"/>
      <c r="G239" s="90"/>
      <c r="H239" s="75"/>
      <c r="I239" s="75"/>
      <c r="J239" s="75"/>
      <c r="K239" s="186"/>
      <c r="L239" s="321"/>
      <c r="M239" s="119"/>
    </row>
    <row r="240" spans="1:23" ht="20.25" hidden="1" customHeight="1" x14ac:dyDescent="0.25">
      <c r="A240" s="88">
        <v>5</v>
      </c>
      <c r="B240" s="97" t="s">
        <v>551</v>
      </c>
      <c r="C240" s="90"/>
      <c r="D240" s="90"/>
      <c r="E240" s="90"/>
      <c r="F240" s="90"/>
      <c r="G240" s="90"/>
      <c r="H240" s="75"/>
      <c r="I240" s="75"/>
      <c r="J240" s="75"/>
      <c r="K240" s="186"/>
      <c r="L240" s="321"/>
      <c r="M240" s="119"/>
    </row>
    <row r="241" spans="1:14" ht="17.25" customHeight="1" thickTop="1" x14ac:dyDescent="0.25">
      <c r="A241" s="88">
        <v>1</v>
      </c>
      <c r="B241" s="97" t="s">
        <v>552</v>
      </c>
      <c r="C241" s="90"/>
      <c r="D241" s="90"/>
      <c r="E241" s="90"/>
      <c r="F241" s="90"/>
      <c r="G241" s="90"/>
      <c r="H241" s="75">
        <v>17166134</v>
      </c>
      <c r="I241" s="196">
        <f>+ROUND((H241/$L$2),2)</f>
        <v>2278337.5099999998</v>
      </c>
      <c r="J241" s="196">
        <v>1397212.5</v>
      </c>
      <c r="K241" s="186"/>
      <c r="L241" s="321" t="s">
        <v>553</v>
      </c>
      <c r="M241" s="119"/>
    </row>
    <row r="242" spans="1:14" ht="20.25" hidden="1" customHeight="1" x14ac:dyDescent="0.25">
      <c r="A242" s="88">
        <v>2</v>
      </c>
      <c r="B242" s="97" t="s">
        <v>554</v>
      </c>
      <c r="C242" s="90"/>
      <c r="D242" s="90"/>
      <c r="E242" s="90"/>
      <c r="F242" s="90"/>
      <c r="G242" s="90"/>
      <c r="H242" s="75"/>
      <c r="I242" s="75"/>
      <c r="J242" s="196"/>
      <c r="K242" s="186"/>
      <c r="L242" s="321" t="s">
        <v>553</v>
      </c>
      <c r="M242" s="119"/>
    </row>
    <row r="243" spans="1:14" ht="13.5" customHeight="1" x14ac:dyDescent="0.25">
      <c r="A243" s="88">
        <v>2</v>
      </c>
      <c r="B243" s="97" t="s">
        <v>555</v>
      </c>
      <c r="C243" s="90"/>
      <c r="D243" s="90"/>
      <c r="E243" s="90"/>
      <c r="F243" s="90"/>
      <c r="G243" s="90"/>
      <c r="H243" s="75">
        <v>91143667</v>
      </c>
      <c r="I243" s="196">
        <f>+ROUND((H243/$L$2),2)</f>
        <v>12096843.449999999</v>
      </c>
      <c r="J243" s="196">
        <v>6035227.1200000001</v>
      </c>
      <c r="K243" s="186"/>
      <c r="L243" s="321" t="s">
        <v>556</v>
      </c>
    </row>
    <row r="244" spans="1:14" ht="15" customHeight="1" thickBot="1" x14ac:dyDescent="0.25">
      <c r="A244" s="88">
        <v>3</v>
      </c>
      <c r="B244" s="97" t="s">
        <v>557</v>
      </c>
      <c r="C244" s="90"/>
      <c r="D244" s="90"/>
      <c r="E244" s="90"/>
      <c r="F244" s="90"/>
      <c r="G244" s="90"/>
      <c r="H244" s="75">
        <v>28530378</v>
      </c>
      <c r="I244" s="196">
        <f>+ROUND((H244/$L$2),2)+0.01</f>
        <v>3786631.9</v>
      </c>
      <c r="J244" s="196">
        <v>3002419.13</v>
      </c>
      <c r="K244" s="186"/>
      <c r="L244" s="769" t="s">
        <v>981</v>
      </c>
      <c r="M244" s="734"/>
      <c r="N244" s="507" t="s">
        <v>1018</v>
      </c>
    </row>
    <row r="245" spans="1:14" s="73" customFormat="1" ht="23.45" customHeight="1" thickTop="1" thickBot="1" x14ac:dyDescent="0.3">
      <c r="A245" s="210"/>
      <c r="B245" s="95" t="s">
        <v>270</v>
      </c>
      <c r="C245" s="95"/>
      <c r="D245" s="95"/>
      <c r="E245" s="95"/>
      <c r="F245" s="95"/>
      <c r="G245" s="95"/>
      <c r="H245" s="96">
        <f>SUM(H236:H244)</f>
        <v>136840179</v>
      </c>
      <c r="I245" s="454">
        <f>SUM(I236:I244)</f>
        <v>18161812.859999999</v>
      </c>
      <c r="J245" s="454">
        <f>SUM(J236:J244)</f>
        <v>10434858.75</v>
      </c>
      <c r="L245" s="455">
        <f>J245-BILANCA!L20</f>
        <v>0</v>
      </c>
      <c r="M245" s="203"/>
      <c r="N245" s="203"/>
    </row>
    <row r="246" spans="1:14" ht="18" customHeight="1" thickTop="1" x14ac:dyDescent="0.25">
      <c r="A246" s="65"/>
      <c r="B246" s="89"/>
      <c r="C246" s="89"/>
      <c r="D246" s="89"/>
      <c r="E246" s="211"/>
      <c r="F246" s="211"/>
      <c r="G246" s="211"/>
      <c r="H246" s="211"/>
      <c r="I246" s="211"/>
      <c r="J246" s="211"/>
      <c r="K246" s="143"/>
      <c r="L246" s="455">
        <f>H245/L2</f>
        <v>18161812.860840134</v>
      </c>
    </row>
    <row r="247" spans="1:14" ht="20.25" customHeight="1" x14ac:dyDescent="0.25">
      <c r="A247" s="70" t="s">
        <v>558</v>
      </c>
      <c r="B247" s="726" t="s">
        <v>894</v>
      </c>
      <c r="C247" s="726"/>
      <c r="D247" s="726"/>
      <c r="E247" s="734"/>
      <c r="F247" s="734"/>
      <c r="G247" s="90"/>
      <c r="H247" s="90"/>
      <c r="I247" s="90"/>
      <c r="J247" s="90"/>
      <c r="K247" s="143"/>
    </row>
    <row r="248" spans="1:14" ht="15.75" thickBot="1" x14ac:dyDescent="0.3">
      <c r="A248" s="212"/>
      <c r="B248" s="213"/>
      <c r="C248" s="214"/>
      <c r="D248" s="214"/>
      <c r="E248" s="90"/>
      <c r="F248" s="90"/>
      <c r="G248" s="90"/>
      <c r="H248" s="22" t="s">
        <v>171</v>
      </c>
      <c r="I248" s="22"/>
      <c r="J248" s="22" t="s">
        <v>1005</v>
      </c>
      <c r="K248" s="143"/>
    </row>
    <row r="249" spans="1:14" ht="37.5" thickTop="1" thickBot="1" x14ac:dyDescent="0.3">
      <c r="A249" s="80" t="s">
        <v>266</v>
      </c>
      <c r="B249" s="80" t="s">
        <v>265</v>
      </c>
      <c r="C249" s="81"/>
      <c r="D249" s="81"/>
      <c r="E249" s="81"/>
      <c r="F249" s="81"/>
      <c r="G249" s="81"/>
      <c r="H249" s="82" t="str">
        <f>H7</f>
        <v>2022.</v>
      </c>
      <c r="I249" s="82" t="str">
        <f>I7</f>
        <v>2022.</v>
      </c>
      <c r="J249" s="82" t="str">
        <f>J7</f>
        <v>2023.</v>
      </c>
      <c r="K249" s="143"/>
      <c r="L249" s="321" t="s">
        <v>1065</v>
      </c>
    </row>
    <row r="250" spans="1:14" ht="15" customHeight="1" thickTop="1" x14ac:dyDescent="0.25">
      <c r="A250" s="84">
        <v>1</v>
      </c>
      <c r="B250" s="215" t="s">
        <v>559</v>
      </c>
      <c r="C250" s="86"/>
      <c r="D250" s="86"/>
      <c r="E250" s="86"/>
      <c r="F250" s="86"/>
      <c r="G250" s="86"/>
      <c r="H250" s="216">
        <f>5523914+1075232000+3873395300</f>
        <v>4954151214</v>
      </c>
      <c r="I250" s="196">
        <f t="shared" ref="I250:I261" si="9">+ROUND((H250/$L$2),2)</f>
        <v>657528862.42999995</v>
      </c>
      <c r="J250" s="476">
        <f>733149.45+514087902.32+142707810.74</f>
        <v>657528862.50999999</v>
      </c>
      <c r="K250" s="143"/>
      <c r="L250" s="321"/>
    </row>
    <row r="251" spans="1:14" ht="15" customHeight="1" x14ac:dyDescent="0.25">
      <c r="A251" s="88">
        <v>2</v>
      </c>
      <c r="B251" s="97" t="s">
        <v>560</v>
      </c>
      <c r="C251" s="90"/>
      <c r="D251" s="90"/>
      <c r="E251" s="90"/>
      <c r="F251" s="90"/>
      <c r="G251" s="90"/>
      <c r="H251" s="141">
        <f>15940284+1086664502+699416000+20000</f>
        <v>1802040786</v>
      </c>
      <c r="I251" s="196">
        <f t="shared" si="9"/>
        <v>239171914</v>
      </c>
      <c r="J251" s="468">
        <v>239171913.94</v>
      </c>
      <c r="K251" s="143"/>
      <c r="L251" s="321"/>
    </row>
    <row r="252" spans="1:14" ht="15" customHeight="1" x14ac:dyDescent="0.25">
      <c r="A252" s="88">
        <v>3</v>
      </c>
      <c r="B252" s="97" t="s">
        <v>561</v>
      </c>
      <c r="C252" s="90"/>
      <c r="D252" s="90"/>
      <c r="E252" s="90"/>
      <c r="F252" s="90"/>
      <c r="G252" s="90"/>
      <c r="H252" s="141">
        <f>20000+20000</f>
        <v>40000</v>
      </c>
      <c r="I252" s="196">
        <f t="shared" si="9"/>
        <v>5308.91</v>
      </c>
      <c r="J252" s="468">
        <v>5308.92</v>
      </c>
      <c r="K252" s="143"/>
      <c r="L252" s="321"/>
    </row>
    <row r="253" spans="1:14" ht="15" customHeight="1" x14ac:dyDescent="0.25">
      <c r="A253" s="88">
        <v>4</v>
      </c>
      <c r="B253" s="97" t="s">
        <v>562</v>
      </c>
      <c r="C253" s="90"/>
      <c r="D253" s="90"/>
      <c r="E253" s="90"/>
      <c r="F253" s="90"/>
      <c r="G253" s="90"/>
      <c r="H253" s="141">
        <f>10721975+267932479+1801209900-1556884355+100020000+1</f>
        <v>623000000</v>
      </c>
      <c r="I253" s="196">
        <f t="shared" si="9"/>
        <v>82686309.640000001</v>
      </c>
      <c r="J253" s="468">
        <f>153463509.64-30614000</f>
        <v>122849509.63999999</v>
      </c>
      <c r="K253" s="143"/>
      <c r="L253" s="321"/>
    </row>
    <row r="254" spans="1:14" ht="15" customHeight="1" x14ac:dyDescent="0.25">
      <c r="A254" s="88">
        <v>5</v>
      </c>
      <c r="B254" s="97" t="s">
        <v>563</v>
      </c>
      <c r="C254" s="90"/>
      <c r="D254" s="90"/>
      <c r="E254" s="90"/>
      <c r="F254" s="90"/>
      <c r="G254" s="90"/>
      <c r="H254" s="141">
        <f>57603607+275994612</f>
        <v>333598219</v>
      </c>
      <c r="I254" s="196">
        <f t="shared" si="9"/>
        <v>44276092.509999998</v>
      </c>
      <c r="J254" s="468">
        <f>7645312.51+36630779.96</f>
        <v>44276092.469999999</v>
      </c>
      <c r="K254" s="143"/>
      <c r="L254" s="321"/>
    </row>
    <row r="255" spans="1:14" ht="15" customHeight="1" x14ac:dyDescent="0.25">
      <c r="A255" s="88">
        <v>6</v>
      </c>
      <c r="B255" s="97" t="s">
        <v>564</v>
      </c>
      <c r="C255" s="90"/>
      <c r="D255" s="90"/>
      <c r="E255" s="90"/>
      <c r="F255" s="90"/>
      <c r="G255" s="90"/>
      <c r="H255" s="141">
        <v>18960000</v>
      </c>
      <c r="I255" s="196">
        <f t="shared" si="9"/>
        <v>2516424.4500000002</v>
      </c>
      <c r="J255" s="468">
        <v>2516424.4500000002</v>
      </c>
      <c r="K255" s="143"/>
      <c r="L255" s="321"/>
    </row>
    <row r="256" spans="1:14" ht="15" customHeight="1" x14ac:dyDescent="0.25">
      <c r="A256" s="88">
        <v>7</v>
      </c>
      <c r="B256" s="97" t="s">
        <v>565</v>
      </c>
      <c r="C256" s="90"/>
      <c r="D256" s="90"/>
      <c r="E256" s="90"/>
      <c r="F256" s="90"/>
      <c r="G256" s="90"/>
      <c r="H256" s="141">
        <f>22139200-7842200</f>
        <v>14297000</v>
      </c>
      <c r="I256" s="196">
        <f t="shared" si="9"/>
        <v>1897537.99</v>
      </c>
      <c r="J256" s="468">
        <f>6200006.8-1040838.81-1528000</f>
        <v>3631167.99</v>
      </c>
      <c r="K256" s="143"/>
      <c r="L256" s="321"/>
    </row>
    <row r="257" spans="1:14" s="97" customFormat="1" ht="15" customHeight="1" x14ac:dyDescent="0.25">
      <c r="A257" s="88">
        <v>8</v>
      </c>
      <c r="B257" s="97" t="s">
        <v>566</v>
      </c>
      <c r="C257" s="90"/>
      <c r="D257" s="90"/>
      <c r="E257" s="90"/>
      <c r="F257" s="90"/>
      <c r="G257" s="90"/>
      <c r="H257" s="141">
        <f>2872196-68348+28558600+2</f>
        <v>31362450</v>
      </c>
      <c r="I257" s="196">
        <f t="shared" si="9"/>
        <v>4162512.44</v>
      </c>
      <c r="J257" s="468">
        <v>4162512.32</v>
      </c>
      <c r="K257" s="89"/>
      <c r="L257" s="328"/>
      <c r="M257" s="155"/>
      <c r="N257" s="155"/>
    </row>
    <row r="258" spans="1:14" s="573" customFormat="1" ht="15" customHeight="1" x14ac:dyDescent="0.25">
      <c r="A258" s="88">
        <v>9</v>
      </c>
      <c r="B258" s="573" t="s">
        <v>1063</v>
      </c>
      <c r="C258" s="90"/>
      <c r="D258" s="90"/>
      <c r="E258" s="90"/>
      <c r="F258" s="90"/>
      <c r="G258" s="90"/>
      <c r="H258" s="141">
        <v>20000</v>
      </c>
      <c r="I258" s="196">
        <f t="shared" si="9"/>
        <v>2654.46</v>
      </c>
      <c r="J258" s="468">
        <v>53109814.460000001</v>
      </c>
      <c r="K258" s="571"/>
      <c r="L258" s="328"/>
      <c r="M258" s="155"/>
      <c r="N258" s="155"/>
    </row>
    <row r="259" spans="1:14" s="97" customFormat="1" ht="15" customHeight="1" x14ac:dyDescent="0.25">
      <c r="A259" s="88">
        <v>10</v>
      </c>
      <c r="B259" s="97" t="s">
        <v>567</v>
      </c>
      <c r="C259" s="90"/>
      <c r="D259" s="90"/>
      <c r="E259" s="90"/>
      <c r="F259" s="90"/>
      <c r="G259" s="90"/>
      <c r="H259" s="141">
        <v>80000</v>
      </c>
      <c r="I259" s="196">
        <f t="shared" si="9"/>
        <v>10617.82</v>
      </c>
      <c r="J259" s="468">
        <f>2654.46+2654.46+5308.92</f>
        <v>10617.84</v>
      </c>
      <c r="K259" s="89"/>
      <c r="L259" s="780" t="s">
        <v>1064</v>
      </c>
      <c r="M259" s="734"/>
      <c r="N259" s="155"/>
    </row>
    <row r="260" spans="1:14" s="97" customFormat="1" ht="15" customHeight="1" x14ac:dyDescent="0.25">
      <c r="A260" s="217">
        <v>11</v>
      </c>
      <c r="B260" s="76" t="s">
        <v>568</v>
      </c>
      <c r="C260" s="100"/>
      <c r="D260" s="100"/>
      <c r="E260" s="100"/>
      <c r="F260" s="100"/>
      <c r="G260" s="100"/>
      <c r="H260" s="178">
        <v>49233201</v>
      </c>
      <c r="I260" s="196">
        <f t="shared" si="9"/>
        <v>6534368.7000000002</v>
      </c>
      <c r="J260" s="473">
        <v>6680211.7999999998</v>
      </c>
      <c r="K260" s="89"/>
      <c r="L260" s="328"/>
      <c r="M260" s="155"/>
      <c r="N260" s="155"/>
    </row>
    <row r="261" spans="1:14" s="97" customFormat="1" ht="15" customHeight="1" x14ac:dyDescent="0.25">
      <c r="A261" s="217">
        <v>12</v>
      </c>
      <c r="B261" s="76" t="s">
        <v>569</v>
      </c>
      <c r="C261" s="100"/>
      <c r="D261" s="100"/>
      <c r="E261" s="100"/>
      <c r="F261" s="100"/>
      <c r="G261" s="100"/>
      <c r="H261" s="178">
        <v>243282744</v>
      </c>
      <c r="I261" s="196">
        <f t="shared" si="9"/>
        <v>32289169.02</v>
      </c>
      <c r="J261" s="473">
        <f>5.95+32289163.18</f>
        <v>32289169.129999999</v>
      </c>
      <c r="K261" s="89"/>
      <c r="L261" s="328"/>
      <c r="M261" s="155"/>
      <c r="N261" s="155"/>
    </row>
    <row r="262" spans="1:14" s="97" customFormat="1" ht="15" customHeight="1" thickBot="1" x14ac:dyDescent="0.25">
      <c r="A262" s="219">
        <v>13</v>
      </c>
      <c r="B262" s="220" t="s">
        <v>570</v>
      </c>
      <c r="C262" s="221"/>
      <c r="D262" s="221"/>
      <c r="E262" s="221"/>
      <c r="F262" s="221"/>
      <c r="G262" s="221"/>
      <c r="H262" s="222">
        <v>120638700</v>
      </c>
      <c r="I262" s="196">
        <f>+ROUND((H262/$L$2),2)+0.01</f>
        <v>16011507.08</v>
      </c>
      <c r="J262" s="477">
        <v>16011507.07</v>
      </c>
      <c r="K262" s="89"/>
      <c r="L262" s="328"/>
      <c r="M262" s="155"/>
      <c r="N262" s="507" t="s">
        <v>1018</v>
      </c>
    </row>
    <row r="263" spans="1:14" s="97" customFormat="1" ht="29.45" customHeight="1" thickTop="1" thickBot="1" x14ac:dyDescent="0.3">
      <c r="A263" s="210"/>
      <c r="B263" s="95" t="s">
        <v>437</v>
      </c>
      <c r="C263" s="95"/>
      <c r="D263" s="95"/>
      <c r="E263" s="95"/>
      <c r="F263" s="95"/>
      <c r="G263" s="95"/>
      <c r="H263" s="96">
        <f>SUM(H250:H262)</f>
        <v>8190704314</v>
      </c>
      <c r="I263" s="454">
        <f>SUM(I250:I262)</f>
        <v>1087093279.45</v>
      </c>
      <c r="J263" s="454">
        <f>SUM(J250:J262)</f>
        <v>1182243112.54</v>
      </c>
      <c r="K263" s="89"/>
      <c r="L263" s="586">
        <f>J263-BILANCA!L25</f>
        <v>0</v>
      </c>
      <c r="M263" s="155"/>
      <c r="N263" s="155"/>
    </row>
    <row r="264" spans="1:14" s="97" customFormat="1" ht="18" customHeight="1" thickTop="1" x14ac:dyDescent="0.25">
      <c r="A264" s="65"/>
      <c r="B264" s="223"/>
      <c r="C264" s="223"/>
      <c r="D264" s="223"/>
      <c r="E264" s="224"/>
      <c r="F264" s="127"/>
      <c r="G264" s="127"/>
      <c r="H264" s="127"/>
      <c r="I264" s="127"/>
      <c r="J264" s="127"/>
      <c r="K264" s="89"/>
      <c r="L264" s="460">
        <f>H263/L2</f>
        <v>1087093279.4478731</v>
      </c>
      <c r="M264" s="155"/>
      <c r="N264" s="155"/>
    </row>
    <row r="265" spans="1:14" s="97" customFormat="1" ht="21" customHeight="1" x14ac:dyDescent="0.25">
      <c r="A265" s="70" t="s">
        <v>571</v>
      </c>
      <c r="B265" s="726" t="s">
        <v>893</v>
      </c>
      <c r="C265" s="726"/>
      <c r="D265" s="726"/>
      <c r="E265" s="726"/>
      <c r="F265" s="726"/>
      <c r="G265" s="726"/>
      <c r="H265" s="726"/>
      <c r="I265" s="449"/>
      <c r="K265" s="89"/>
      <c r="L265" s="318"/>
      <c r="M265" s="155"/>
      <c r="N265" s="155"/>
    </row>
    <row r="266" spans="1:14" s="97" customFormat="1" ht="15.75" customHeight="1" thickBot="1" x14ac:dyDescent="0.3">
      <c r="A266" s="74"/>
      <c r="B266" s="99"/>
      <c r="C266" s="99"/>
      <c r="D266" s="99"/>
      <c r="E266" s="224"/>
      <c r="F266" s="127"/>
      <c r="G266" s="127"/>
      <c r="H266" s="22" t="s">
        <v>171</v>
      </c>
      <c r="I266" s="22"/>
      <c r="J266" s="22" t="s">
        <v>1005</v>
      </c>
      <c r="K266" s="89"/>
      <c r="L266" s="318"/>
      <c r="M266" s="155"/>
      <c r="N266" s="155"/>
    </row>
    <row r="267" spans="1:14" s="97" customFormat="1" ht="33" customHeight="1" thickTop="1" thickBot="1" x14ac:dyDescent="0.3">
      <c r="A267" s="79" t="s">
        <v>266</v>
      </c>
      <c r="B267" s="80" t="s">
        <v>265</v>
      </c>
      <c r="C267" s="81"/>
      <c r="D267" s="81"/>
      <c r="E267" s="81"/>
      <c r="F267" s="81"/>
      <c r="G267" s="81"/>
      <c r="H267" s="82" t="str">
        <f>H7</f>
        <v>2022.</v>
      </c>
      <c r="I267" s="82" t="str">
        <f>I7</f>
        <v>2022.</v>
      </c>
      <c r="J267" s="82" t="str">
        <f>J7</f>
        <v>2023.</v>
      </c>
      <c r="K267" s="89"/>
      <c r="L267" s="328" t="s">
        <v>572</v>
      </c>
      <c r="M267" s="155"/>
      <c r="N267" s="155"/>
    </row>
    <row r="268" spans="1:14" s="97" customFormat="1" ht="15" customHeight="1" thickTop="1" x14ac:dyDescent="0.25">
      <c r="A268" s="88">
        <v>1</v>
      </c>
      <c r="B268" s="97" t="s">
        <v>573</v>
      </c>
      <c r="C268" s="90"/>
      <c r="D268" s="90"/>
      <c r="E268" s="90"/>
      <c r="F268" s="90"/>
      <c r="G268" s="90"/>
      <c r="H268" s="75">
        <v>614431716</v>
      </c>
      <c r="I268" s="196">
        <f>+ROUND((H268/$L$2),2)</f>
        <v>81549102.930000007</v>
      </c>
      <c r="J268" s="196"/>
      <c r="K268" s="89"/>
      <c r="L268" s="328"/>
      <c r="M268" s="155"/>
      <c r="N268" s="155"/>
    </row>
    <row r="269" spans="1:14" s="97" customFormat="1" ht="15" customHeight="1" x14ac:dyDescent="0.25">
      <c r="A269" s="88">
        <v>2</v>
      </c>
      <c r="B269" s="97" t="s">
        <v>574</v>
      </c>
      <c r="C269" s="90"/>
      <c r="D269" s="90"/>
      <c r="E269" s="90"/>
      <c r="F269" s="90"/>
      <c r="G269" s="90"/>
      <c r="H269" s="75">
        <f>2488386+62964152</f>
        <v>65452538</v>
      </c>
      <c r="I269" s="196">
        <f>+ROUND((H269/$L$2),2)</f>
        <v>8687044.6600000001</v>
      </c>
      <c r="J269" s="196"/>
      <c r="K269" s="89"/>
      <c r="L269" s="328"/>
      <c r="M269" s="155"/>
      <c r="N269" s="155"/>
    </row>
    <row r="270" spans="1:14" s="97" customFormat="1" ht="15" customHeight="1" x14ac:dyDescent="0.25">
      <c r="A270" s="88">
        <v>3</v>
      </c>
      <c r="B270" s="289" t="s">
        <v>843</v>
      </c>
      <c r="C270" s="90"/>
      <c r="D270" s="90"/>
      <c r="E270" s="90"/>
      <c r="F270" s="90"/>
      <c r="G270" s="90"/>
      <c r="H270" s="75"/>
      <c r="I270" s="196"/>
      <c r="J270" s="196">
        <f>69227716.33</f>
        <v>69227716.329999998</v>
      </c>
      <c r="K270" s="89"/>
      <c r="L270" s="328"/>
      <c r="M270" s="155"/>
      <c r="N270" s="155"/>
    </row>
    <row r="271" spans="1:14" s="97" customFormat="1" ht="15" customHeight="1" x14ac:dyDescent="0.25">
      <c r="A271" s="88">
        <v>4</v>
      </c>
      <c r="B271" s="97" t="s">
        <v>984</v>
      </c>
      <c r="C271" s="90"/>
      <c r="D271" s="90"/>
      <c r="E271" s="90"/>
      <c r="F271" s="90"/>
      <c r="G271" s="90"/>
      <c r="H271" s="75">
        <v>13000000</v>
      </c>
      <c r="I271" s="196">
        <f>+ROUND((H271/$L$2),2)</f>
        <v>1725396.51</v>
      </c>
      <c r="J271" s="196">
        <v>2775396.51</v>
      </c>
      <c r="K271" s="89"/>
      <c r="L271" s="328"/>
      <c r="M271" s="155"/>
      <c r="N271" s="155"/>
    </row>
    <row r="272" spans="1:14" s="97" customFormat="1" ht="15" hidden="1" customHeight="1" x14ac:dyDescent="0.25">
      <c r="A272" s="88">
        <v>5</v>
      </c>
      <c r="B272" s="97" t="s">
        <v>575</v>
      </c>
      <c r="C272" s="90"/>
      <c r="D272" s="90"/>
      <c r="E272" s="90"/>
      <c r="F272" s="90"/>
      <c r="G272" s="90"/>
      <c r="H272" s="75"/>
      <c r="I272" s="196">
        <f>+ROUND((H272/$L$2),2)</f>
        <v>0</v>
      </c>
      <c r="J272" s="196"/>
      <c r="K272" s="89"/>
      <c r="L272" s="328"/>
      <c r="M272" s="155"/>
      <c r="N272" s="155"/>
    </row>
    <row r="273" spans="1:14" s="97" customFormat="1" ht="15" customHeight="1" x14ac:dyDescent="0.25">
      <c r="A273" s="88">
        <v>5</v>
      </c>
      <c r="B273" s="97" t="s">
        <v>576</v>
      </c>
      <c r="C273" s="90"/>
      <c r="D273" s="90"/>
      <c r="E273" s="90"/>
      <c r="F273" s="90"/>
      <c r="G273" s="90"/>
      <c r="H273" s="75">
        <v>62387796</v>
      </c>
      <c r="I273" s="196">
        <f>+ROUND((H273/$L$2),2)</f>
        <v>8280283.5</v>
      </c>
      <c r="J273" s="196">
        <f>6903141.46</f>
        <v>6903141.46</v>
      </c>
      <c r="K273" s="89"/>
      <c r="L273" s="328"/>
      <c r="M273" s="155"/>
      <c r="N273" s="155"/>
    </row>
    <row r="274" spans="1:14" s="97" customFormat="1" ht="15" customHeight="1" x14ac:dyDescent="0.25">
      <c r="A274" s="88">
        <v>6</v>
      </c>
      <c r="B274" s="97" t="s">
        <v>844</v>
      </c>
      <c r="C274" s="90"/>
      <c r="D274" s="90"/>
      <c r="E274" s="90"/>
      <c r="F274" s="90"/>
      <c r="G274" s="90"/>
      <c r="H274" s="75"/>
      <c r="I274" s="196"/>
      <c r="J274" s="196">
        <v>6524432.5800000001</v>
      </c>
      <c r="K274" s="89"/>
      <c r="L274" s="328"/>
      <c r="M274" s="155"/>
      <c r="N274" s="155"/>
    </row>
    <row r="275" spans="1:14" s="97" customFormat="1" ht="15" customHeight="1" x14ac:dyDescent="0.25">
      <c r="A275" s="88">
        <v>7</v>
      </c>
      <c r="B275" s="97" t="s">
        <v>577</v>
      </c>
      <c r="C275" s="90"/>
      <c r="D275" s="90"/>
      <c r="E275" s="90"/>
      <c r="F275" s="90"/>
      <c r="G275" s="90"/>
      <c r="H275" s="75">
        <v>118415294</v>
      </c>
      <c r="I275" s="196">
        <f>+ROUND((H275/$L$2),2)</f>
        <v>15716410.380000001</v>
      </c>
      <c r="J275" s="196">
        <v>15625806.380000001</v>
      </c>
      <c r="K275" s="89"/>
      <c r="L275" s="328"/>
      <c r="M275" s="155"/>
      <c r="N275" s="155"/>
    </row>
    <row r="276" spans="1:14" s="97" customFormat="1" ht="17.25" customHeight="1" x14ac:dyDescent="0.25">
      <c r="A276" s="88">
        <v>8</v>
      </c>
      <c r="B276" s="97" t="s">
        <v>578</v>
      </c>
      <c r="C276" s="90"/>
      <c r="D276" s="90"/>
      <c r="E276" s="90"/>
      <c r="F276" s="90"/>
      <c r="G276" s="90"/>
      <c r="H276" s="75">
        <v>175406897</v>
      </c>
      <c r="I276" s="196">
        <f>+ROUND((H276/$L$2),2)</f>
        <v>23280495.989999998</v>
      </c>
      <c r="J276" s="196"/>
      <c r="K276" s="89"/>
      <c r="L276" s="328"/>
      <c r="M276" s="155"/>
      <c r="N276" s="155"/>
    </row>
    <row r="277" spans="1:14" s="97" customFormat="1" ht="15" customHeight="1" x14ac:dyDescent="0.25">
      <c r="A277" s="88">
        <v>9</v>
      </c>
      <c r="B277" s="97" t="s">
        <v>579</v>
      </c>
      <c r="C277" s="90"/>
      <c r="D277" s="90"/>
      <c r="E277" s="90"/>
      <c r="F277" s="90"/>
      <c r="G277" s="90"/>
      <c r="H277" s="75">
        <v>13014017</v>
      </c>
      <c r="I277" s="196">
        <f>+ROUND((H277/$L$2),2)</f>
        <v>1727256.88</v>
      </c>
      <c r="J277" s="196">
        <f>1727256.88</f>
        <v>1727256.88</v>
      </c>
      <c r="K277" s="89"/>
      <c r="L277" s="328"/>
      <c r="M277" s="155"/>
      <c r="N277" s="155"/>
    </row>
    <row r="278" spans="1:14" s="97" customFormat="1" ht="15" hidden="1" customHeight="1" x14ac:dyDescent="0.25">
      <c r="A278" s="88">
        <v>10</v>
      </c>
      <c r="B278" s="97" t="s">
        <v>580</v>
      </c>
      <c r="C278" s="90"/>
      <c r="D278" s="90"/>
      <c r="E278" s="90"/>
      <c r="F278" s="90"/>
      <c r="G278" s="90"/>
      <c r="H278" s="75"/>
      <c r="I278" s="196"/>
      <c r="J278" s="196"/>
      <c r="K278" s="89"/>
      <c r="L278" s="328"/>
      <c r="M278" s="155"/>
      <c r="N278" s="155"/>
    </row>
    <row r="279" spans="1:14" ht="15" customHeight="1" thickBot="1" x14ac:dyDescent="0.3">
      <c r="A279" s="88">
        <v>10</v>
      </c>
      <c r="B279" s="97" t="s">
        <v>581</v>
      </c>
      <c r="C279" s="90"/>
      <c r="D279" s="90"/>
      <c r="E279" s="90"/>
      <c r="F279" s="90"/>
      <c r="G279" s="90"/>
      <c r="H279" s="75">
        <v>7446190</v>
      </c>
      <c r="I279" s="196">
        <f>+ROUND((H279/$L$2),2)</f>
        <v>988279.25</v>
      </c>
      <c r="J279" s="196">
        <f>845304.48</f>
        <v>845304.48</v>
      </c>
      <c r="K279" s="143"/>
      <c r="L279" s="321"/>
    </row>
    <row r="280" spans="1:14" ht="24.6" customHeight="1" thickBot="1" x14ac:dyDescent="0.3">
      <c r="A280" s="225"/>
      <c r="B280" s="226" t="s">
        <v>644</v>
      </c>
      <c r="C280" s="226"/>
      <c r="D280" s="226"/>
      <c r="E280" s="226"/>
      <c r="F280" s="226"/>
      <c r="G280" s="226"/>
      <c r="H280" s="227">
        <f>SUM(H268:H279)</f>
        <v>1069554448</v>
      </c>
      <c r="I280" s="479">
        <f>SUM(I268:I279)</f>
        <v>141954270.09999999</v>
      </c>
      <c r="J280" s="479">
        <f>SUM(J268:J279)</f>
        <v>103629054.61999999</v>
      </c>
      <c r="L280" s="321"/>
    </row>
    <row r="281" spans="1:14" ht="15" customHeight="1" thickBot="1" x14ac:dyDescent="0.25">
      <c r="A281" s="217">
        <v>11</v>
      </c>
      <c r="B281" s="373" t="s">
        <v>582</v>
      </c>
      <c r="C281" s="100"/>
      <c r="D281" s="100"/>
      <c r="E281" s="100"/>
      <c r="F281" s="100"/>
      <c r="G281" s="100"/>
      <c r="H281" s="77">
        <f>-145932480-2488386</f>
        <v>-148420866</v>
      </c>
      <c r="I281" s="196">
        <f>+ROUND((H281/$L$2),2)-0.01</f>
        <v>-19698834.170000002</v>
      </c>
      <c r="J281" s="121">
        <v>-9895628.4900000002</v>
      </c>
      <c r="L281" s="321"/>
      <c r="N281" s="507" t="s">
        <v>1019</v>
      </c>
    </row>
    <row r="282" spans="1:14" ht="27.6" customHeight="1" thickTop="1" thickBot="1" x14ac:dyDescent="0.3">
      <c r="A282" s="210"/>
      <c r="B282" s="95" t="s">
        <v>953</v>
      </c>
      <c r="C282" s="95"/>
      <c r="D282" s="95"/>
      <c r="E282" s="95"/>
      <c r="F282" s="95"/>
      <c r="G282" s="95"/>
      <c r="H282" s="96">
        <f>SUM(H280:H281)</f>
        <v>921133582</v>
      </c>
      <c r="I282" s="454">
        <f>SUM(I280:I281)</f>
        <v>122255435.92999999</v>
      </c>
      <c r="J282" s="454">
        <f>SUM(J280:J281)</f>
        <v>93733426.129999995</v>
      </c>
      <c r="L282" s="489">
        <f>J282-BILANCA!L27</f>
        <v>0</v>
      </c>
    </row>
    <row r="283" spans="1:14" ht="18" customHeight="1" thickTop="1" x14ac:dyDescent="0.25">
      <c r="A283" s="65"/>
      <c r="B283" s="97"/>
      <c r="C283" s="187"/>
      <c r="D283" s="187"/>
      <c r="E283" s="228"/>
      <c r="F283" s="75"/>
      <c r="G283" s="75"/>
      <c r="H283" s="98"/>
      <c r="I283" s="98"/>
      <c r="J283" s="98"/>
      <c r="L283" s="455">
        <f>H282/L2</f>
        <v>122255435.92806423</v>
      </c>
    </row>
    <row r="284" spans="1:14" ht="19.5" customHeight="1" x14ac:dyDescent="0.25">
      <c r="A284" s="70" t="s">
        <v>583</v>
      </c>
      <c r="B284" s="726" t="s">
        <v>584</v>
      </c>
      <c r="C284" s="726"/>
      <c r="D284" s="726"/>
      <c r="E284" s="224"/>
      <c r="F284" s="127"/>
      <c r="G284" s="127"/>
    </row>
    <row r="285" spans="1:14" ht="15.75" customHeight="1" thickBot="1" x14ac:dyDescent="0.3">
      <c r="A285" s="70"/>
      <c r="B285" s="99"/>
      <c r="C285" s="99"/>
      <c r="D285" s="99"/>
      <c r="E285" s="224"/>
      <c r="F285" s="127"/>
      <c r="G285" s="127"/>
      <c r="H285" s="22" t="s">
        <v>171</v>
      </c>
      <c r="I285" s="22"/>
      <c r="J285" s="22" t="s">
        <v>1005</v>
      </c>
    </row>
    <row r="286" spans="1:14" ht="31.5" thickTop="1" thickBot="1" x14ac:dyDescent="0.3">
      <c r="A286" s="79" t="s">
        <v>266</v>
      </c>
      <c r="B286" s="80" t="s">
        <v>265</v>
      </c>
      <c r="C286" s="81"/>
      <c r="D286" s="81"/>
      <c r="E286" s="81"/>
      <c r="F286" s="81"/>
      <c r="G286" s="81"/>
      <c r="H286" s="82" t="str">
        <f>H7</f>
        <v>2022.</v>
      </c>
      <c r="I286" s="82" t="str">
        <f>I7</f>
        <v>2022.</v>
      </c>
      <c r="J286" s="82" t="str">
        <f>J7</f>
        <v>2023.</v>
      </c>
    </row>
    <row r="287" spans="1:14" ht="15" customHeight="1" thickTop="1" x14ac:dyDescent="0.25">
      <c r="A287" s="88"/>
      <c r="B287" s="97" t="s">
        <v>585</v>
      </c>
      <c r="C287" s="187"/>
      <c r="D287" s="187"/>
      <c r="E287" s="228"/>
      <c r="F287" s="90"/>
      <c r="G287" s="90"/>
      <c r="H287" s="102">
        <f>145757260+250740</f>
        <v>146008000</v>
      </c>
      <c r="I287" s="196">
        <f>+ROUND((H287/$L$2),2)</f>
        <v>19378591.809999999</v>
      </c>
      <c r="J287" s="453">
        <f>19345312.89+33278.92</f>
        <v>19378591.810000002</v>
      </c>
      <c r="L287" s="769" t="s">
        <v>840</v>
      </c>
      <c r="M287" s="734"/>
    </row>
    <row r="288" spans="1:14" ht="15" customHeight="1" x14ac:dyDescent="0.25">
      <c r="A288" s="88"/>
      <c r="B288" s="97" t="s">
        <v>586</v>
      </c>
      <c r="C288" s="187"/>
      <c r="D288" s="187"/>
      <c r="E288" s="228"/>
      <c r="F288" s="90"/>
      <c r="G288" s="90"/>
      <c r="H288" s="509">
        <f>172738335-3548</f>
        <v>172734787</v>
      </c>
      <c r="I288" s="482">
        <f>+ROUND((H288/$L$2),2)</f>
        <v>22925846.039999999</v>
      </c>
      <c r="J288" s="510">
        <f>25459905.4-669.2</f>
        <v>25459236.199999999</v>
      </c>
      <c r="L288" s="769" t="s">
        <v>587</v>
      </c>
      <c r="M288" s="734"/>
    </row>
    <row r="289" spans="1:12" ht="15" customHeight="1" x14ac:dyDescent="0.25">
      <c r="A289" s="65"/>
      <c r="B289" s="187"/>
      <c r="C289" s="187"/>
      <c r="D289" s="187"/>
      <c r="E289" s="228"/>
      <c r="F289" s="90"/>
      <c r="G289" s="90"/>
      <c r="H289" s="230">
        <f>SUM(H287:H288)</f>
        <v>318742787</v>
      </c>
      <c r="I289" s="480">
        <f>SUM(I287:I288)</f>
        <v>42304437.849999994</v>
      </c>
      <c r="J289" s="480">
        <f>SUM(J287:J288)</f>
        <v>44837828.010000005</v>
      </c>
      <c r="L289" s="321"/>
    </row>
    <row r="290" spans="1:12" ht="15" customHeight="1" x14ac:dyDescent="0.25">
      <c r="A290" s="785" t="s">
        <v>588</v>
      </c>
      <c r="B290" s="786"/>
      <c r="C290" s="231"/>
      <c r="D290" s="187"/>
      <c r="E290" s="228"/>
      <c r="F290" s="90"/>
      <c r="G290" s="90"/>
      <c r="H290" s="90"/>
      <c r="I290" s="481"/>
      <c r="J290" s="481"/>
      <c r="L290" s="321"/>
    </row>
    <row r="291" spans="1:12" ht="15" customHeight="1" x14ac:dyDescent="0.25">
      <c r="A291" s="232">
        <v>1</v>
      </c>
      <c r="B291" s="233" t="s">
        <v>589</v>
      </c>
      <c r="C291" s="231"/>
      <c r="D291" s="187"/>
      <c r="E291" s="228"/>
      <c r="F291" s="90"/>
      <c r="G291" s="90"/>
      <c r="H291" s="75">
        <v>318487900</v>
      </c>
      <c r="I291" s="196">
        <f t="shared" ref="I291:I304" si="10">+ROUND((H291/$L$2),2)</f>
        <v>42270608.530000001</v>
      </c>
      <c r="J291" s="196">
        <f>19344176.78+25460053.22</f>
        <v>44804230</v>
      </c>
      <c r="L291" s="321" t="s">
        <v>590</v>
      </c>
    </row>
    <row r="292" spans="1:12" ht="15" hidden="1" customHeight="1" x14ac:dyDescent="0.25">
      <c r="A292" s="232">
        <v>2</v>
      </c>
      <c r="B292" s="233" t="s">
        <v>591</v>
      </c>
      <c r="C292" s="231"/>
      <c r="D292" s="187"/>
      <c r="E292" s="228"/>
      <c r="F292" s="90"/>
      <c r="G292" s="90"/>
      <c r="H292" s="75"/>
      <c r="I292" s="196">
        <f t="shared" si="10"/>
        <v>0</v>
      </c>
      <c r="J292" s="196"/>
      <c r="L292" s="321"/>
    </row>
    <row r="293" spans="1:12" ht="15" customHeight="1" x14ac:dyDescent="0.25">
      <c r="A293" s="232">
        <v>2</v>
      </c>
      <c r="B293" s="233" t="s">
        <v>592</v>
      </c>
      <c r="C293" s="231"/>
      <c r="D293" s="187"/>
      <c r="E293" s="228"/>
      <c r="F293" s="90"/>
      <c r="G293" s="90"/>
      <c r="H293" s="75">
        <v>5100</v>
      </c>
      <c r="I293" s="196">
        <f t="shared" si="10"/>
        <v>676.89</v>
      </c>
      <c r="J293" s="196">
        <f>676.89</f>
        <v>676.89</v>
      </c>
      <c r="L293" s="321" t="s">
        <v>590</v>
      </c>
    </row>
    <row r="294" spans="1:12" ht="15" hidden="1" customHeight="1" x14ac:dyDescent="0.25">
      <c r="A294" s="232">
        <v>4</v>
      </c>
      <c r="B294" s="233" t="s">
        <v>593</v>
      </c>
      <c r="C294" s="231"/>
      <c r="D294" s="187"/>
      <c r="E294" s="228"/>
      <c r="F294" s="90"/>
      <c r="G294" s="90"/>
      <c r="H294" s="75"/>
      <c r="I294" s="196">
        <f t="shared" si="10"/>
        <v>0</v>
      </c>
      <c r="J294" s="196"/>
      <c r="L294" s="321"/>
    </row>
    <row r="295" spans="1:12" ht="15" hidden="1" customHeight="1" x14ac:dyDescent="0.25">
      <c r="A295" s="232">
        <v>5</v>
      </c>
      <c r="B295" s="233" t="s">
        <v>594</v>
      </c>
      <c r="C295" s="231"/>
      <c r="D295" s="187"/>
      <c r="E295" s="228"/>
      <c r="F295" s="90"/>
      <c r="G295" s="90"/>
      <c r="H295" s="75"/>
      <c r="I295" s="196">
        <f t="shared" si="10"/>
        <v>0</v>
      </c>
      <c r="J295" s="196"/>
      <c r="L295" s="321"/>
    </row>
    <row r="296" spans="1:12" ht="15" hidden="1" customHeight="1" x14ac:dyDescent="0.25">
      <c r="A296" s="232">
        <v>6</v>
      </c>
      <c r="B296" s="233" t="s">
        <v>595</v>
      </c>
      <c r="C296" s="231"/>
      <c r="D296" s="187"/>
      <c r="E296" s="228"/>
      <c r="F296" s="90"/>
      <c r="G296" s="90"/>
      <c r="H296" s="75"/>
      <c r="I296" s="196">
        <f t="shared" si="10"/>
        <v>0</v>
      </c>
      <c r="J296" s="196"/>
      <c r="L296" s="321"/>
    </row>
    <row r="297" spans="1:12" ht="15" hidden="1" customHeight="1" x14ac:dyDescent="0.25">
      <c r="A297" s="232">
        <v>7</v>
      </c>
      <c r="B297" s="233" t="s">
        <v>596</v>
      </c>
      <c r="C297" s="231"/>
      <c r="D297" s="187"/>
      <c r="E297" s="228"/>
      <c r="F297" s="90"/>
      <c r="G297" s="90"/>
      <c r="H297" s="75"/>
      <c r="I297" s="196">
        <f t="shared" si="10"/>
        <v>0</v>
      </c>
      <c r="J297" s="196"/>
      <c r="L297" s="321"/>
    </row>
    <row r="298" spans="1:12" ht="15" hidden="1" customHeight="1" x14ac:dyDescent="0.25">
      <c r="A298" s="232">
        <v>8</v>
      </c>
      <c r="B298" s="233" t="s">
        <v>597</v>
      </c>
      <c r="C298" s="231"/>
      <c r="D298" s="187"/>
      <c r="E298" s="228"/>
      <c r="F298" s="90"/>
      <c r="G298" s="90"/>
      <c r="H298" s="75"/>
      <c r="I298" s="196">
        <f t="shared" si="10"/>
        <v>0</v>
      </c>
      <c r="J298" s="196"/>
      <c r="L298" s="321"/>
    </row>
    <row r="299" spans="1:12" ht="15" hidden="1" customHeight="1" x14ac:dyDescent="0.25">
      <c r="A299" s="232">
        <v>3</v>
      </c>
      <c r="B299" s="233" t="s">
        <v>598</v>
      </c>
      <c r="C299" s="231"/>
      <c r="D299" s="187"/>
      <c r="E299" s="228"/>
      <c r="F299" s="90"/>
      <c r="G299" s="90"/>
      <c r="H299" s="75"/>
      <c r="I299" s="196">
        <f t="shared" si="10"/>
        <v>0</v>
      </c>
      <c r="J299" s="196"/>
      <c r="L299" s="321" t="s">
        <v>599</v>
      </c>
    </row>
    <row r="300" spans="1:12" ht="15" customHeight="1" x14ac:dyDescent="0.25">
      <c r="A300" s="232">
        <v>3</v>
      </c>
      <c r="B300" s="233" t="s">
        <v>600</v>
      </c>
      <c r="C300" s="231"/>
      <c r="D300" s="187"/>
      <c r="E300" s="228"/>
      <c r="F300" s="90"/>
      <c r="G300" s="90"/>
      <c r="H300" s="75">
        <v>14192</v>
      </c>
      <c r="I300" s="196">
        <f t="shared" si="10"/>
        <v>1883.6</v>
      </c>
      <c r="J300" s="196">
        <f>2354.5-669.2</f>
        <v>1685.3</v>
      </c>
      <c r="L300" s="321" t="s">
        <v>599</v>
      </c>
    </row>
    <row r="301" spans="1:12" ht="15" customHeight="1" x14ac:dyDescent="0.25">
      <c r="A301" s="232">
        <v>4</v>
      </c>
      <c r="B301" s="233" t="s">
        <v>601</v>
      </c>
      <c r="C301" s="231"/>
      <c r="D301" s="187"/>
      <c r="E301" s="228"/>
      <c r="F301" s="90"/>
      <c r="G301" s="90"/>
      <c r="H301" s="75">
        <v>233000</v>
      </c>
      <c r="I301" s="196">
        <f t="shared" si="10"/>
        <v>30924.41</v>
      </c>
      <c r="J301" s="196">
        <v>30924.42</v>
      </c>
      <c r="L301" s="321" t="s">
        <v>599</v>
      </c>
    </row>
    <row r="302" spans="1:12" ht="15" hidden="1" customHeight="1" x14ac:dyDescent="0.25">
      <c r="A302" s="232">
        <v>12</v>
      </c>
      <c r="B302" s="233" t="s">
        <v>602</v>
      </c>
      <c r="C302" s="231"/>
      <c r="D302" s="187"/>
      <c r="E302" s="228"/>
      <c r="F302" s="90"/>
      <c r="G302" s="90"/>
      <c r="H302" s="75"/>
      <c r="I302" s="196">
        <f t="shared" si="10"/>
        <v>0</v>
      </c>
      <c r="J302" s="196"/>
      <c r="L302" s="321"/>
    </row>
    <row r="303" spans="1:12" ht="15" hidden="1" customHeight="1" x14ac:dyDescent="0.25">
      <c r="A303" s="232">
        <v>6</v>
      </c>
      <c r="B303" s="233" t="s">
        <v>603</v>
      </c>
      <c r="C303" s="231"/>
      <c r="D303" s="187"/>
      <c r="E303" s="228"/>
      <c r="F303" s="90"/>
      <c r="G303" s="90"/>
      <c r="H303" s="75"/>
      <c r="I303" s="196">
        <f t="shared" si="10"/>
        <v>0</v>
      </c>
      <c r="J303" s="196"/>
      <c r="L303" s="321" t="s">
        <v>590</v>
      </c>
    </row>
    <row r="304" spans="1:12" ht="15" customHeight="1" thickBot="1" x14ac:dyDescent="0.3">
      <c r="A304" s="232">
        <v>5</v>
      </c>
      <c r="B304" s="233" t="s">
        <v>604</v>
      </c>
      <c r="C304" s="231"/>
      <c r="D304" s="187"/>
      <c r="E304" s="228"/>
      <c r="F304" s="90"/>
      <c r="G304" s="90"/>
      <c r="H304" s="75">
        <v>2595</v>
      </c>
      <c r="I304" s="196">
        <f t="shared" si="10"/>
        <v>344.42</v>
      </c>
      <c r="J304" s="196">
        <f>459.22-147.82</f>
        <v>311.40000000000003</v>
      </c>
      <c r="L304" s="321" t="s">
        <v>590</v>
      </c>
    </row>
    <row r="305" spans="1:12" ht="15" hidden="1" customHeight="1" thickBot="1" x14ac:dyDescent="0.3">
      <c r="A305" s="234">
        <v>6</v>
      </c>
      <c r="B305" s="235" t="s">
        <v>605</v>
      </c>
      <c r="C305" s="236"/>
      <c r="D305" s="237"/>
      <c r="E305" s="238"/>
      <c r="F305" s="93"/>
      <c r="G305" s="93"/>
      <c r="H305" s="94"/>
      <c r="I305" s="452"/>
      <c r="J305" s="452"/>
      <c r="L305" s="321" t="s">
        <v>599</v>
      </c>
    </row>
    <row r="306" spans="1:12" ht="25.15" customHeight="1" thickTop="1" thickBot="1" x14ac:dyDescent="0.3">
      <c r="A306" s="210"/>
      <c r="B306" s="95" t="s">
        <v>308</v>
      </c>
      <c r="C306" s="95"/>
      <c r="D306" s="95"/>
      <c r="E306" s="95"/>
      <c r="F306" s="95"/>
      <c r="G306" s="95"/>
      <c r="H306" s="96">
        <f>SUM(H291:H305)</f>
        <v>318742787</v>
      </c>
      <c r="I306" s="454">
        <f>SUM(I291:I305)</f>
        <v>42304437.850000001</v>
      </c>
      <c r="J306" s="454">
        <f>SUM(J291:J305)</f>
        <v>44837828.009999998</v>
      </c>
      <c r="L306" s="455">
        <f>J306-BILANCA!L34</f>
        <v>0</v>
      </c>
    </row>
    <row r="307" spans="1:12" ht="18" customHeight="1" thickTop="1" x14ac:dyDescent="0.25">
      <c r="A307" s="65"/>
      <c r="B307" s="187"/>
      <c r="C307" s="187"/>
      <c r="D307" s="187"/>
      <c r="E307" s="228"/>
      <c r="F307" s="90"/>
      <c r="G307" s="90"/>
      <c r="H307" s="90"/>
      <c r="I307" s="90"/>
      <c r="J307" s="90"/>
      <c r="L307" s="455">
        <f>H306/L2</f>
        <v>42304437.852544956</v>
      </c>
    </row>
    <row r="308" spans="1:12" ht="21" customHeight="1" x14ac:dyDescent="0.25">
      <c r="A308" s="70" t="s">
        <v>606</v>
      </c>
      <c r="B308" s="99" t="s">
        <v>892</v>
      </c>
      <c r="C308" s="99"/>
      <c r="D308" s="99"/>
      <c r="E308" s="224"/>
      <c r="F308" s="127"/>
      <c r="G308" s="127"/>
      <c r="L308" s="319"/>
    </row>
    <row r="309" spans="1:12" ht="15.75" customHeight="1" thickBot="1" x14ac:dyDescent="0.3">
      <c r="A309" s="70"/>
      <c r="B309" s="99"/>
      <c r="C309" s="99"/>
      <c r="D309" s="99"/>
      <c r="E309" s="224"/>
      <c r="F309" s="127"/>
      <c r="G309" s="127"/>
      <c r="H309" s="22" t="s">
        <v>171</v>
      </c>
      <c r="I309" s="22"/>
      <c r="J309" s="22" t="s">
        <v>1005</v>
      </c>
    </row>
    <row r="310" spans="1:12" ht="31.5" thickTop="1" thickBot="1" x14ac:dyDescent="0.3">
      <c r="A310" s="79" t="s">
        <v>266</v>
      </c>
      <c r="B310" s="80" t="s">
        <v>265</v>
      </c>
      <c r="C310" s="81"/>
      <c r="D310" s="81"/>
      <c r="E310" s="81"/>
      <c r="F310" s="81"/>
      <c r="G310" s="81"/>
      <c r="H310" s="82" t="str">
        <f>H7</f>
        <v>2022.</v>
      </c>
      <c r="I310" s="82" t="str">
        <f>I7</f>
        <v>2022.</v>
      </c>
      <c r="J310" s="82" t="str">
        <f>J7</f>
        <v>2023.</v>
      </c>
    </row>
    <row r="311" spans="1:12" ht="15" customHeight="1" thickTop="1" x14ac:dyDescent="0.25">
      <c r="A311" s="740" t="s">
        <v>607</v>
      </c>
      <c r="B311" s="740"/>
      <c r="C311" s="231"/>
      <c r="D311" s="187"/>
      <c r="E311" s="228"/>
      <c r="F311" s="90"/>
      <c r="G311" s="90"/>
      <c r="H311" s="90"/>
      <c r="I311" s="90"/>
      <c r="J311" s="90"/>
      <c r="L311" s="321" t="s">
        <v>608</v>
      </c>
    </row>
    <row r="312" spans="1:12" ht="15" customHeight="1" x14ac:dyDescent="0.25">
      <c r="A312" s="232">
        <v>1</v>
      </c>
      <c r="B312" s="153" t="s">
        <v>609</v>
      </c>
      <c r="C312" s="231"/>
      <c r="D312" s="187"/>
      <c r="E312" s="228"/>
      <c r="F312" s="90"/>
      <c r="G312" s="90"/>
      <c r="H312" s="75">
        <f>23456429058-12361938046-3226751406</f>
        <v>7867739606</v>
      </c>
      <c r="I312" s="196">
        <f t="shared" ref="I312:I321" si="11">+ROUND((H312/$L$2),2)</f>
        <v>1044228496.38</v>
      </c>
      <c r="J312" s="196">
        <f>3176843091.86-1723165909.37-392588417.43</f>
        <v>1061088765.0600002</v>
      </c>
      <c r="L312" s="321"/>
    </row>
    <row r="313" spans="1:12" ht="15" customHeight="1" x14ac:dyDescent="0.25">
      <c r="A313" s="232">
        <v>2</v>
      </c>
      <c r="B313" s="233" t="s">
        <v>610</v>
      </c>
      <c r="C313" s="231"/>
      <c r="D313" s="187"/>
      <c r="E313" s="228"/>
      <c r="F313" s="90"/>
      <c r="G313" s="90"/>
      <c r="H313" s="75">
        <f>17462782231-9737528323</f>
        <v>7725253908</v>
      </c>
      <c r="I313" s="196">
        <f t="shared" si="11"/>
        <v>1025317394.39</v>
      </c>
      <c r="J313" s="196">
        <f>2341641562.72-1364677663.99</f>
        <v>976963898.72999978</v>
      </c>
      <c r="L313" s="321"/>
    </row>
    <row r="314" spans="1:12" ht="15" customHeight="1" x14ac:dyDescent="0.25">
      <c r="A314" s="232">
        <v>3</v>
      </c>
      <c r="B314" s="233" t="s">
        <v>611</v>
      </c>
      <c r="C314" s="231"/>
      <c r="D314" s="187"/>
      <c r="E314" s="228"/>
      <c r="F314" s="90"/>
      <c r="G314" s="90"/>
      <c r="H314" s="75">
        <f>2253435103-1036744892-279359949</f>
        <v>937330262</v>
      </c>
      <c r="I314" s="196">
        <f t="shared" si="11"/>
        <v>124405104.78</v>
      </c>
      <c r="J314" s="196">
        <f>317376695.33-145766093.48-47302147.83</f>
        <v>124308454.02</v>
      </c>
      <c r="L314" s="321"/>
    </row>
    <row r="315" spans="1:12" ht="15" customHeight="1" x14ac:dyDescent="0.25">
      <c r="A315" s="232">
        <v>4</v>
      </c>
      <c r="B315" s="233" t="s">
        <v>612</v>
      </c>
      <c r="C315" s="231"/>
      <c r="D315" s="187"/>
      <c r="E315" s="228"/>
      <c r="F315" s="90"/>
      <c r="G315" s="90"/>
      <c r="H315" s="75">
        <f>461799713-181194153-53392007</f>
        <v>227213553</v>
      </c>
      <c r="I315" s="196">
        <f t="shared" si="11"/>
        <v>30156420.859999999</v>
      </c>
      <c r="J315" s="196">
        <f>68213355.18-25920099.39-8785479.9</f>
        <v>33507775.890000008</v>
      </c>
      <c r="L315" s="321"/>
    </row>
    <row r="316" spans="1:12" ht="15" customHeight="1" x14ac:dyDescent="0.25">
      <c r="A316" s="232">
        <v>5</v>
      </c>
      <c r="B316" s="233" t="s">
        <v>613</v>
      </c>
      <c r="C316" s="231"/>
      <c r="D316" s="187"/>
      <c r="E316" s="228"/>
      <c r="F316" s="90"/>
      <c r="G316" s="90"/>
      <c r="H316" s="75">
        <f>11386763-10014439</f>
        <v>1372324</v>
      </c>
      <c r="I316" s="196">
        <f t="shared" si="11"/>
        <v>182138.7</v>
      </c>
      <c r="J316" s="196">
        <f>1621382.32-1390059.79</f>
        <v>231322.53000000003</v>
      </c>
      <c r="L316" s="321"/>
    </row>
    <row r="317" spans="1:12" ht="15" customHeight="1" x14ac:dyDescent="0.25">
      <c r="A317" s="232">
        <v>6</v>
      </c>
      <c r="B317" s="233" t="s">
        <v>985</v>
      </c>
      <c r="C317" s="231"/>
      <c r="D317" s="187"/>
      <c r="E317" s="228"/>
      <c r="F317" s="90"/>
      <c r="G317" s="90"/>
      <c r="H317" s="75">
        <f>24270119-13880572</f>
        <v>10389547</v>
      </c>
      <c r="I317" s="196">
        <f t="shared" si="11"/>
        <v>1378929.86</v>
      </c>
      <c r="J317" s="196">
        <f>3276936.15-1933354.05</f>
        <v>1343582.0999999999</v>
      </c>
      <c r="L317" s="321"/>
    </row>
    <row r="318" spans="1:12" ht="15" customHeight="1" x14ac:dyDescent="0.25">
      <c r="A318" s="232">
        <v>7</v>
      </c>
      <c r="B318" s="233" t="s">
        <v>564</v>
      </c>
      <c r="C318" s="231"/>
      <c r="D318" s="187"/>
      <c r="E318" s="228"/>
      <c r="F318" s="90"/>
      <c r="G318" s="90"/>
      <c r="H318" s="75">
        <f>8935823-7511134</f>
        <v>1424689</v>
      </c>
      <c r="I318" s="196">
        <f t="shared" si="11"/>
        <v>189088.73</v>
      </c>
      <c r="J318" s="196">
        <f>1196687.87-1051205.91</f>
        <v>145481.9600000002</v>
      </c>
      <c r="L318" s="321"/>
    </row>
    <row r="319" spans="1:12" ht="15" customHeight="1" x14ac:dyDescent="0.25">
      <c r="A319" s="232">
        <v>8</v>
      </c>
      <c r="B319" s="233" t="s">
        <v>614</v>
      </c>
      <c r="C319" s="231"/>
      <c r="D319" s="187"/>
      <c r="E319" s="228"/>
      <c r="F319" s="90"/>
      <c r="G319" s="90"/>
      <c r="H319" s="75">
        <f>5011908-4164579</f>
        <v>847329</v>
      </c>
      <c r="I319" s="196">
        <f t="shared" si="11"/>
        <v>112459.88</v>
      </c>
      <c r="J319" s="196">
        <f>687356.51-587248.42</f>
        <v>100108.08999999997</v>
      </c>
      <c r="L319" s="321"/>
    </row>
    <row r="320" spans="1:12" ht="15" customHeight="1" x14ac:dyDescent="0.25">
      <c r="A320" s="232">
        <v>9</v>
      </c>
      <c r="B320" s="233" t="s">
        <v>615</v>
      </c>
      <c r="C320" s="231"/>
      <c r="D320" s="187"/>
      <c r="E320" s="228"/>
      <c r="F320" s="90"/>
      <c r="G320" s="90"/>
      <c r="H320" s="75">
        <f>186589630-13927100</f>
        <v>172662530</v>
      </c>
      <c r="I320" s="196">
        <f t="shared" si="11"/>
        <v>22916255.890000001</v>
      </c>
      <c r="J320" s="196">
        <f>25202968.2-2028523.14</f>
        <v>23174445.059999999</v>
      </c>
      <c r="L320" s="321"/>
    </row>
    <row r="321" spans="1:12" ht="15" customHeight="1" thickBot="1" x14ac:dyDescent="0.3">
      <c r="A321" s="239">
        <v>10</v>
      </c>
      <c r="B321" s="240" t="s">
        <v>616</v>
      </c>
      <c r="C321" s="241"/>
      <c r="D321" s="242"/>
      <c r="E321" s="243"/>
      <c r="F321" s="244"/>
      <c r="G321" s="244"/>
      <c r="H321" s="245">
        <f>12267549-7342684</f>
        <v>4924865</v>
      </c>
      <c r="I321" s="196">
        <f t="shared" si="11"/>
        <v>653641.91</v>
      </c>
      <c r="J321" s="483">
        <f>1633607.33-1152973.72</f>
        <v>480633.6100000001</v>
      </c>
      <c r="L321" s="321"/>
    </row>
    <row r="322" spans="1:12" ht="22.15" customHeight="1" thickBot="1" x14ac:dyDescent="0.3">
      <c r="A322" s="225"/>
      <c r="B322" s="226" t="s">
        <v>644</v>
      </c>
      <c r="C322" s="226"/>
      <c r="D322" s="226"/>
      <c r="E322" s="226"/>
      <c r="F322" s="226"/>
      <c r="G322" s="226"/>
      <c r="H322" s="227">
        <f>SUM(H310:H321)</f>
        <v>16949158613</v>
      </c>
      <c r="I322" s="479">
        <f>SUM(I310:I321)</f>
        <v>2249539931.3800001</v>
      </c>
      <c r="J322" s="479">
        <f>SUM(J310:J321)</f>
        <v>2221344467.0500002</v>
      </c>
      <c r="L322" s="321"/>
    </row>
    <row r="323" spans="1:12" ht="15.75" customHeight="1" thickBot="1" x14ac:dyDescent="0.3">
      <c r="A323" s="232">
        <v>11</v>
      </c>
      <c r="B323" s="372" t="s">
        <v>582</v>
      </c>
      <c r="C323" s="231"/>
      <c r="D323" s="187"/>
      <c r="E323" s="228"/>
      <c r="F323" s="90"/>
      <c r="G323" s="90"/>
      <c r="H323" s="75">
        <v>-1242338672</v>
      </c>
      <c r="I323" s="196">
        <f>+ROUND((H323/$L$2),2)</f>
        <v>-164886677.55000001</v>
      </c>
      <c r="J323" s="196">
        <v>-164116620.90000001</v>
      </c>
      <c r="L323" s="321"/>
    </row>
    <row r="324" spans="1:12" ht="21" customHeight="1" thickBot="1" x14ac:dyDescent="0.3">
      <c r="A324" s="225"/>
      <c r="B324" s="226" t="s">
        <v>953</v>
      </c>
      <c r="C324" s="226"/>
      <c r="D324" s="226"/>
      <c r="E324" s="226"/>
      <c r="F324" s="226"/>
      <c r="G324" s="226"/>
      <c r="H324" s="227">
        <f>SUM(H322:H323)</f>
        <v>15706819941</v>
      </c>
      <c r="I324" s="479">
        <f>SUM(I322:I323)</f>
        <v>2084653253.8300002</v>
      </c>
      <c r="J324" s="479">
        <f>SUM(J322:J323)</f>
        <v>2057227846.1500001</v>
      </c>
      <c r="L324" s="321"/>
    </row>
    <row r="325" spans="1:12" ht="15" customHeight="1" thickTop="1" x14ac:dyDescent="0.25">
      <c r="A325" s="737" t="s">
        <v>617</v>
      </c>
      <c r="B325" s="737"/>
      <c r="C325" s="246"/>
      <c r="D325" s="247"/>
      <c r="E325" s="248"/>
      <c r="F325" s="86"/>
      <c r="G325" s="86"/>
      <c r="H325" s="86"/>
      <c r="I325" s="86"/>
      <c r="J325" s="86"/>
      <c r="L325" s="321" t="s">
        <v>618</v>
      </c>
    </row>
    <row r="326" spans="1:12" ht="15" customHeight="1" x14ac:dyDescent="0.25">
      <c r="A326" s="232">
        <v>12</v>
      </c>
      <c r="B326" s="738" t="s">
        <v>609</v>
      </c>
      <c r="C326" s="739"/>
      <c r="D326" s="739"/>
      <c r="E326" s="228"/>
      <c r="F326" s="90"/>
      <c r="G326" s="90"/>
      <c r="H326" s="75">
        <v>1172222</v>
      </c>
      <c r="I326" s="196">
        <f>+ROUND((H326/$L$2),2)</f>
        <v>155580.6</v>
      </c>
      <c r="J326" s="196">
        <v>96189.08</v>
      </c>
      <c r="L326" s="321"/>
    </row>
    <row r="327" spans="1:12" ht="15" customHeight="1" x14ac:dyDescent="0.25">
      <c r="A327" s="232">
        <v>13</v>
      </c>
      <c r="B327" s="233" t="s">
        <v>610</v>
      </c>
      <c r="C327" s="231"/>
      <c r="D327" s="187"/>
      <c r="E327" s="228"/>
      <c r="F327" s="90"/>
      <c r="G327" s="90"/>
      <c r="H327" s="75">
        <v>428456</v>
      </c>
      <c r="I327" s="196">
        <f>+ROUND((H327/$L$2),2)</f>
        <v>56865.88</v>
      </c>
      <c r="J327" s="196">
        <v>30977.65</v>
      </c>
      <c r="L327" s="321"/>
    </row>
    <row r="328" spans="1:12" ht="15" customHeight="1" x14ac:dyDescent="0.25">
      <c r="A328" s="232">
        <v>14</v>
      </c>
      <c r="B328" s="738" t="s">
        <v>559</v>
      </c>
      <c r="C328" s="739"/>
      <c r="D328" s="739"/>
      <c r="E328" s="228"/>
      <c r="F328" s="90"/>
      <c r="G328" s="90"/>
      <c r="H328" s="75">
        <v>218326</v>
      </c>
      <c r="I328" s="196">
        <f>+ROUND((H328/$L$2),2)</f>
        <v>28976.84</v>
      </c>
      <c r="J328" s="196">
        <v>19481.79</v>
      </c>
      <c r="L328" s="321"/>
    </row>
    <row r="329" spans="1:12" ht="15" customHeight="1" thickBot="1" x14ac:dyDescent="0.3">
      <c r="A329" s="239">
        <v>15</v>
      </c>
      <c r="B329" s="240" t="s">
        <v>611</v>
      </c>
      <c r="C329" s="241"/>
      <c r="D329" s="242"/>
      <c r="E329" s="243"/>
      <c r="F329" s="244"/>
      <c r="G329" s="244"/>
      <c r="H329" s="245">
        <v>73125</v>
      </c>
      <c r="I329" s="196">
        <f>+ROUND((H329/$L$2),2)</f>
        <v>9705.36</v>
      </c>
      <c r="J329" s="483">
        <v>8829.1</v>
      </c>
      <c r="L329" s="321"/>
    </row>
    <row r="330" spans="1:12" ht="21" customHeight="1" thickBot="1" x14ac:dyDescent="0.3">
      <c r="A330" s="249"/>
      <c r="B330" s="250" t="s">
        <v>841</v>
      </c>
      <c r="C330" s="250"/>
      <c r="D330" s="250"/>
      <c r="E330" s="250"/>
      <c r="F330" s="250"/>
      <c r="G330" s="250"/>
      <c r="H330" s="251">
        <f>SUM(H326:H329)</f>
        <v>1892129</v>
      </c>
      <c r="I330" s="484">
        <f>SUM(I326:I329)</f>
        <v>251128.68</v>
      </c>
      <c r="J330" s="484">
        <f>SUM(J326:J329)</f>
        <v>155477.62000000002</v>
      </c>
      <c r="L330" s="321"/>
    </row>
    <row r="331" spans="1:12" ht="28.15" customHeight="1" thickTop="1" thickBot="1" x14ac:dyDescent="0.3">
      <c r="A331" s="210"/>
      <c r="B331" s="252" t="s">
        <v>842</v>
      </c>
      <c r="C331" s="95"/>
      <c r="D331" s="95"/>
      <c r="E331" s="95"/>
      <c r="F331" s="95"/>
      <c r="G331" s="95"/>
      <c r="H331" s="96">
        <f>H324+H330</f>
        <v>15708712070</v>
      </c>
      <c r="I331" s="454">
        <f>I324+I330</f>
        <v>2084904382.5100002</v>
      </c>
      <c r="J331" s="454">
        <f>J324+J330</f>
        <v>2057383323.77</v>
      </c>
      <c r="L331" s="455">
        <f>J331-BILANCA!L36</f>
        <v>0</v>
      </c>
    </row>
    <row r="332" spans="1:12" ht="18" customHeight="1" thickTop="1" x14ac:dyDescent="0.25">
      <c r="A332" s="254"/>
      <c r="B332" s="255"/>
      <c r="C332" s="100"/>
      <c r="D332" s="100"/>
      <c r="E332" s="100"/>
      <c r="F332" s="100"/>
      <c r="G332" s="100"/>
      <c r="H332" s="112"/>
      <c r="I332" s="112"/>
      <c r="J332" s="112"/>
      <c r="L332" s="455">
        <f>H331/L2</f>
        <v>2084904382.5071337</v>
      </c>
    </row>
    <row r="333" spans="1:12" ht="21" customHeight="1" x14ac:dyDescent="0.25">
      <c r="A333" s="70" t="s">
        <v>619</v>
      </c>
      <c r="B333" s="99" t="s">
        <v>620</v>
      </c>
      <c r="C333" s="99"/>
      <c r="D333" s="99"/>
      <c r="E333" s="224"/>
      <c r="F333" s="127"/>
      <c r="G333" s="127"/>
    </row>
    <row r="334" spans="1:12" ht="15.75" customHeight="1" thickBot="1" x14ac:dyDescent="0.3">
      <c r="A334" s="70"/>
      <c r="B334" s="99"/>
      <c r="C334" s="99"/>
      <c r="D334" s="99"/>
      <c r="E334" s="224"/>
      <c r="F334" s="127"/>
      <c r="G334" s="127"/>
      <c r="H334" s="22" t="s">
        <v>171</v>
      </c>
      <c r="I334" s="22"/>
      <c r="J334" s="22" t="s">
        <v>1005</v>
      </c>
    </row>
    <row r="335" spans="1:12" ht="31.5" thickTop="1" thickBot="1" x14ac:dyDescent="0.3">
      <c r="A335" s="79" t="s">
        <v>266</v>
      </c>
      <c r="B335" s="80" t="s">
        <v>265</v>
      </c>
      <c r="C335" s="81"/>
      <c r="D335" s="81"/>
      <c r="E335" s="81"/>
      <c r="F335" s="81"/>
      <c r="G335" s="81"/>
      <c r="H335" s="82" t="str">
        <f>H7</f>
        <v>2022.</v>
      </c>
      <c r="I335" s="82" t="str">
        <f>I7</f>
        <v>2022.</v>
      </c>
      <c r="J335" s="82" t="str">
        <f>J7</f>
        <v>2023.</v>
      </c>
      <c r="L335" s="321"/>
    </row>
    <row r="336" spans="1:12" ht="14.25" customHeight="1" thickTop="1" x14ac:dyDescent="0.25">
      <c r="A336" s="84">
        <v>1</v>
      </c>
      <c r="B336" s="256" t="s">
        <v>621</v>
      </c>
      <c r="C336" s="86"/>
      <c r="D336" s="86"/>
      <c r="E336" s="86"/>
      <c r="F336" s="86"/>
      <c r="G336" s="86"/>
      <c r="H336" s="87">
        <v>6524297</v>
      </c>
      <c r="I336" s="196">
        <f t="shared" ref="I336:I342" si="12">+ROUND((H336/$L$2),2)</f>
        <v>865923.02</v>
      </c>
      <c r="J336" s="451">
        <v>531033.19999999995</v>
      </c>
      <c r="L336" s="321" t="s">
        <v>622</v>
      </c>
    </row>
    <row r="337" spans="1:13" ht="14.25" customHeight="1" x14ac:dyDescent="0.25">
      <c r="A337" s="88">
        <v>2</v>
      </c>
      <c r="B337" s="257" t="s">
        <v>623</v>
      </c>
      <c r="C337" s="90"/>
      <c r="D337" s="90"/>
      <c r="E337" s="90"/>
      <c r="F337" s="90"/>
      <c r="G337" s="90"/>
      <c r="H337" s="75">
        <f>2509573-2123930</f>
        <v>385643</v>
      </c>
      <c r="I337" s="196">
        <f t="shared" si="12"/>
        <v>51183.62</v>
      </c>
      <c r="J337" s="196">
        <f>326481.23-285233.8</f>
        <v>41247.429999999993</v>
      </c>
      <c r="L337" s="321" t="s">
        <v>180</v>
      </c>
    </row>
    <row r="338" spans="1:13" ht="15" customHeight="1" x14ac:dyDescent="0.25">
      <c r="A338" s="88">
        <v>3</v>
      </c>
      <c r="B338" s="257" t="s">
        <v>624</v>
      </c>
      <c r="C338" s="90"/>
      <c r="D338" s="90"/>
      <c r="E338" s="90"/>
      <c r="F338" s="90"/>
      <c r="G338" s="90"/>
      <c r="H338" s="75">
        <f>10393946-720448</f>
        <v>9673498</v>
      </c>
      <c r="I338" s="196">
        <f t="shared" si="12"/>
        <v>1283893.82</v>
      </c>
      <c r="J338" s="196">
        <v>4466729.29</v>
      </c>
      <c r="L338" s="321" t="s">
        <v>625</v>
      </c>
    </row>
    <row r="339" spans="1:13" ht="13.5" customHeight="1" x14ac:dyDescent="0.25">
      <c r="A339" s="88">
        <v>4</v>
      </c>
      <c r="B339" s="153" t="s">
        <v>302</v>
      </c>
      <c r="C339" s="90"/>
      <c r="D339" s="90"/>
      <c r="E339" s="90"/>
      <c r="F339" s="90"/>
      <c r="G339" s="90"/>
      <c r="H339" s="75">
        <v>13070382</v>
      </c>
      <c r="I339" s="196">
        <f t="shared" si="12"/>
        <v>1734737.81</v>
      </c>
      <c r="J339" s="196">
        <v>1734737.85</v>
      </c>
      <c r="L339" s="321" t="s">
        <v>303</v>
      </c>
    </row>
    <row r="340" spans="1:13" ht="15" customHeight="1" x14ac:dyDescent="0.25">
      <c r="A340" s="88">
        <v>5</v>
      </c>
      <c r="B340" s="348" t="s">
        <v>986</v>
      </c>
      <c r="C340" s="90"/>
      <c r="D340" s="90"/>
      <c r="E340" s="90"/>
      <c r="F340" s="90"/>
      <c r="G340" s="90"/>
      <c r="H340" s="75">
        <v>464573947</v>
      </c>
      <c r="I340" s="196">
        <f t="shared" si="12"/>
        <v>61659558.960000001</v>
      </c>
      <c r="J340" s="196">
        <v>54912091.509999998</v>
      </c>
      <c r="L340" s="321" t="s">
        <v>997</v>
      </c>
    </row>
    <row r="341" spans="1:13" ht="14.25" customHeight="1" x14ac:dyDescent="0.25">
      <c r="A341" s="88">
        <v>6</v>
      </c>
      <c r="B341" s="348" t="s">
        <v>999</v>
      </c>
      <c r="C341" s="90"/>
      <c r="D341" s="90"/>
      <c r="E341" s="90"/>
      <c r="F341" s="90"/>
      <c r="G341" s="90"/>
      <c r="H341" s="75">
        <v>200544394</v>
      </c>
      <c r="I341" s="196">
        <f t="shared" si="12"/>
        <v>26616815.18</v>
      </c>
      <c r="J341" s="196">
        <v>30132220.309999999</v>
      </c>
      <c r="L341" s="321" t="s">
        <v>998</v>
      </c>
    </row>
    <row r="342" spans="1:13" ht="15" customHeight="1" thickBot="1" x14ac:dyDescent="0.3">
      <c r="A342" s="347">
        <v>7</v>
      </c>
      <c r="B342" s="790" t="s">
        <v>1135</v>
      </c>
      <c r="C342" s="760"/>
      <c r="D342" s="760"/>
      <c r="E342" s="93"/>
      <c r="F342" s="93"/>
      <c r="G342" s="93"/>
      <c r="H342" s="94">
        <v>2097738566</v>
      </c>
      <c r="I342" s="196">
        <f t="shared" si="12"/>
        <v>278417753.80000001</v>
      </c>
      <c r="J342" s="452">
        <v>154639148.83000001</v>
      </c>
      <c r="L342" s="321" t="s">
        <v>987</v>
      </c>
    </row>
    <row r="343" spans="1:13" ht="25.15" customHeight="1" thickTop="1" thickBot="1" x14ac:dyDescent="0.3">
      <c r="A343" s="210"/>
      <c r="B343" s="95" t="s">
        <v>542</v>
      </c>
      <c r="C343" s="95"/>
      <c r="D343" s="95"/>
      <c r="E343" s="95"/>
      <c r="F343" s="95"/>
      <c r="G343" s="95"/>
      <c r="H343" s="96">
        <f>SUM(H336:H342)</f>
        <v>2792510727</v>
      </c>
      <c r="I343" s="454">
        <f>SUM(I336:I342)</f>
        <v>370629866.21000004</v>
      </c>
      <c r="J343" s="454">
        <f>SUM(J336:J342)</f>
        <v>246457208.42000002</v>
      </c>
      <c r="L343" s="455">
        <f>J343-BILANCA!L42</f>
        <v>0</v>
      </c>
    </row>
    <row r="344" spans="1:13" ht="18" customHeight="1" thickTop="1" x14ac:dyDescent="0.25">
      <c r="A344" s="254"/>
      <c r="B344" s="255"/>
      <c r="C344" s="100"/>
      <c r="D344" s="100"/>
      <c r="E344" s="100"/>
      <c r="F344" s="100"/>
      <c r="G344" s="100"/>
      <c r="H344" s="112"/>
      <c r="I344" s="112"/>
      <c r="J344" s="112"/>
      <c r="L344" s="455">
        <f>H343/L2</f>
        <v>370629866.2154091</v>
      </c>
    </row>
    <row r="345" spans="1:13" ht="21" customHeight="1" x14ac:dyDescent="0.25">
      <c r="A345" s="70" t="s">
        <v>1090</v>
      </c>
      <c r="B345" s="74" t="s">
        <v>891</v>
      </c>
      <c r="C345" s="74"/>
      <c r="D345" s="74"/>
      <c r="E345" s="258"/>
      <c r="F345" s="258"/>
      <c r="G345" s="83"/>
    </row>
    <row r="346" spans="1:13" ht="15.75" customHeight="1" thickBot="1" x14ac:dyDescent="0.3">
      <c r="A346" s="70"/>
      <c r="B346" s="74"/>
      <c r="C346" s="74"/>
      <c r="D346" s="74"/>
      <c r="E346" s="258"/>
      <c r="F346" s="258"/>
      <c r="G346" s="83"/>
      <c r="H346" s="22" t="s">
        <v>171</v>
      </c>
      <c r="I346" s="22"/>
      <c r="J346" s="22" t="s">
        <v>1005</v>
      </c>
    </row>
    <row r="347" spans="1:13" ht="31.5" thickTop="1" thickBot="1" x14ac:dyDescent="0.3">
      <c r="A347" s="79" t="s">
        <v>266</v>
      </c>
      <c r="B347" s="80" t="s">
        <v>265</v>
      </c>
      <c r="C347" s="81"/>
      <c r="D347" s="81"/>
      <c r="E347" s="81"/>
      <c r="F347" s="81"/>
      <c r="G347" s="81"/>
      <c r="H347" s="82" t="str">
        <f>H7</f>
        <v>2022.</v>
      </c>
      <c r="I347" s="82" t="str">
        <f>I7</f>
        <v>2022.</v>
      </c>
      <c r="J347" s="82" t="str">
        <f>J7</f>
        <v>2023.</v>
      </c>
      <c r="L347" s="321"/>
    </row>
    <row r="348" spans="1:13" ht="15" customHeight="1" thickTop="1" x14ac:dyDescent="0.25">
      <c r="A348" s="737" t="s">
        <v>626</v>
      </c>
      <c r="B348" s="737"/>
      <c r="C348" s="246"/>
      <c r="D348" s="247"/>
      <c r="E348" s="248"/>
      <c r="F348" s="86"/>
      <c r="G348" s="86"/>
      <c r="H348" s="86"/>
      <c r="I348" s="86"/>
      <c r="J348" s="86"/>
      <c r="L348" s="321"/>
    </row>
    <row r="349" spans="1:13" ht="15" customHeight="1" x14ac:dyDescent="0.25">
      <c r="A349" s="232">
        <v>1</v>
      </c>
      <c r="B349" s="153" t="s">
        <v>627</v>
      </c>
      <c r="C349" s="231"/>
      <c r="D349" s="187"/>
      <c r="E349" s="228"/>
      <c r="F349" s="90"/>
      <c r="G349" s="90"/>
      <c r="H349" s="102">
        <f>319681370+1154426244+1374030503-290309872+291555287</f>
        <v>2849383532</v>
      </c>
      <c r="I349" s="196">
        <f t="shared" ref="I349:I358" si="13">+ROUND((H349/$L$2),2)</f>
        <v>378178184.62</v>
      </c>
      <c r="J349" s="453">
        <f>46243564.37+224293516.84+209631865.07-39309814.68</f>
        <v>440859131.59999996</v>
      </c>
      <c r="L349" s="769" t="s">
        <v>628</v>
      </c>
      <c r="M349" s="734"/>
    </row>
    <row r="350" spans="1:13" ht="15" customHeight="1" x14ac:dyDescent="0.25">
      <c r="A350" s="232">
        <v>2</v>
      </c>
      <c r="B350" s="153" t="s">
        <v>629</v>
      </c>
      <c r="C350" s="231"/>
      <c r="D350" s="187"/>
      <c r="E350" s="228"/>
      <c r="F350" s="90"/>
      <c r="G350" s="90"/>
      <c r="H350" s="75">
        <v>1212098699</v>
      </c>
      <c r="I350" s="196">
        <f t="shared" si="13"/>
        <v>160873143.41</v>
      </c>
      <c r="J350" s="196">
        <v>60325674.039999999</v>
      </c>
      <c r="L350" s="321" t="s">
        <v>630</v>
      </c>
    </row>
    <row r="351" spans="1:13" ht="15" customHeight="1" x14ac:dyDescent="0.25">
      <c r="A351" s="232">
        <v>3</v>
      </c>
      <c r="B351" s="153" t="s">
        <v>631</v>
      </c>
      <c r="C351" s="231"/>
      <c r="D351" s="187"/>
      <c r="E351" s="228"/>
      <c r="F351" s="90"/>
      <c r="G351" s="90"/>
      <c r="H351" s="75">
        <v>69412334</v>
      </c>
      <c r="I351" s="196">
        <f t="shared" si="13"/>
        <v>9212599.9100000001</v>
      </c>
      <c r="J351" s="196">
        <v>8511642.9800000004</v>
      </c>
      <c r="L351" s="321" t="s">
        <v>632</v>
      </c>
    </row>
    <row r="352" spans="1:13" ht="15" customHeight="1" x14ac:dyDescent="0.25">
      <c r="A352" s="232">
        <v>4</v>
      </c>
      <c r="B352" s="153" t="s">
        <v>633</v>
      </c>
      <c r="C352" s="231"/>
      <c r="D352" s="187"/>
      <c r="E352" s="228"/>
      <c r="F352" s="90"/>
      <c r="G352" s="90"/>
      <c r="H352" s="75">
        <v>322700051</v>
      </c>
      <c r="I352" s="196">
        <f t="shared" si="13"/>
        <v>42829657.039999999</v>
      </c>
      <c r="J352" s="196">
        <v>24006055.600000001</v>
      </c>
      <c r="L352" s="321" t="s">
        <v>634</v>
      </c>
    </row>
    <row r="353" spans="1:14" ht="15" customHeight="1" x14ac:dyDescent="0.25">
      <c r="A353" s="232">
        <v>5</v>
      </c>
      <c r="B353" s="153" t="s">
        <v>635</v>
      </c>
      <c r="C353" s="231"/>
      <c r="D353" s="187"/>
      <c r="E353" s="228"/>
      <c r="F353" s="90"/>
      <c r="G353" s="90"/>
      <c r="H353" s="75">
        <v>92655891</v>
      </c>
      <c r="I353" s="196">
        <f t="shared" si="13"/>
        <v>12297550.07</v>
      </c>
      <c r="J353" s="196">
        <v>35741458.990000002</v>
      </c>
      <c r="L353" s="321" t="s">
        <v>636</v>
      </c>
    </row>
    <row r="354" spans="1:14" ht="15" customHeight="1" x14ac:dyDescent="0.25">
      <c r="A354" s="232">
        <v>6</v>
      </c>
      <c r="B354" s="736" t="s">
        <v>988</v>
      </c>
      <c r="C354" s="734"/>
      <c r="D354" s="734"/>
      <c r="E354" s="734"/>
      <c r="F354" s="734"/>
      <c r="G354" s="90"/>
      <c r="H354" s="75">
        <f>3951021+95140276</f>
        <v>99091297</v>
      </c>
      <c r="I354" s="196">
        <f t="shared" si="13"/>
        <v>13151675.23</v>
      </c>
      <c r="J354" s="196">
        <v>35415225.43</v>
      </c>
      <c r="L354" s="321" t="s">
        <v>989</v>
      </c>
    </row>
    <row r="355" spans="1:14" ht="15" customHeight="1" x14ac:dyDescent="0.25">
      <c r="A355" s="232">
        <v>7</v>
      </c>
      <c r="B355" s="153" t="s">
        <v>637</v>
      </c>
      <c r="C355" s="231"/>
      <c r="D355" s="187"/>
      <c r="E355" s="228"/>
      <c r="F355" s="90"/>
      <c r="G355" s="90"/>
      <c r="H355" s="75">
        <f>31555228+26853505+5426553+387357-4241</f>
        <v>64218402</v>
      </c>
      <c r="I355" s="196">
        <f t="shared" si="13"/>
        <v>8523246.6699999999</v>
      </c>
      <c r="J355" s="196">
        <f>1507513.28+3130207.33+2003.83+2301317.33</f>
        <v>6941041.7700000005</v>
      </c>
      <c r="L355" s="769" t="s">
        <v>991</v>
      </c>
      <c r="M355" s="734"/>
    </row>
    <row r="356" spans="1:14" ht="15" customHeight="1" x14ac:dyDescent="0.25">
      <c r="A356" s="232">
        <v>8</v>
      </c>
      <c r="B356" s="153" t="s">
        <v>638</v>
      </c>
      <c r="C356" s="231"/>
      <c r="D356" s="187"/>
      <c r="E356" s="228"/>
      <c r="F356" s="90"/>
      <c r="G356" s="90"/>
      <c r="H356" s="75">
        <f>2673992335-1513181598</f>
        <v>1160810737</v>
      </c>
      <c r="I356" s="196">
        <f t="shared" si="13"/>
        <v>154066061.05000001</v>
      </c>
      <c r="J356" s="196">
        <f>383421727.38-216371324.28</f>
        <v>167050403.09999999</v>
      </c>
      <c r="L356" s="321" t="s">
        <v>770</v>
      </c>
    </row>
    <row r="357" spans="1:14" ht="15" customHeight="1" x14ac:dyDescent="0.25">
      <c r="A357" s="232">
        <v>9</v>
      </c>
      <c r="B357" s="153" t="s">
        <v>639</v>
      </c>
      <c r="C357" s="231"/>
      <c r="D357" s="187"/>
      <c r="E357" s="228"/>
      <c r="F357" s="90"/>
      <c r="G357" s="90"/>
      <c r="H357" s="75">
        <v>316153213</v>
      </c>
      <c r="I357" s="196">
        <f t="shared" si="13"/>
        <v>41960742.32</v>
      </c>
      <c r="J357" s="196">
        <v>355666.98</v>
      </c>
      <c r="L357" s="321" t="s">
        <v>640</v>
      </c>
    </row>
    <row r="358" spans="1:14" ht="15" customHeight="1" x14ac:dyDescent="0.25">
      <c r="A358" s="232">
        <v>10</v>
      </c>
      <c r="B358" s="89" t="s">
        <v>304</v>
      </c>
      <c r="C358" s="231"/>
      <c r="D358" s="187"/>
      <c r="E358" s="228"/>
      <c r="F358" s="90"/>
      <c r="G358" s="90"/>
      <c r="H358" s="75">
        <v>420050</v>
      </c>
      <c r="I358" s="196">
        <f t="shared" si="13"/>
        <v>55750.22</v>
      </c>
      <c r="J358" s="196">
        <v>55750.22</v>
      </c>
      <c r="L358" s="321" t="s">
        <v>641</v>
      </c>
    </row>
    <row r="359" spans="1:14" ht="15" customHeight="1" thickBot="1" x14ac:dyDescent="0.25">
      <c r="A359" s="234">
        <v>11</v>
      </c>
      <c r="B359" s="159" t="s">
        <v>642</v>
      </c>
      <c r="C359" s="236"/>
      <c r="D359" s="237"/>
      <c r="E359" s="238"/>
      <c r="F359" s="93"/>
      <c r="G359" s="93"/>
      <c r="H359" s="94">
        <v>1242338672</v>
      </c>
      <c r="I359" s="196">
        <f>+ROUND((H359/$L$2),2)-0.02</f>
        <v>164886677.53</v>
      </c>
      <c r="J359" s="452">
        <v>164116620.90000001</v>
      </c>
      <c r="K359" s="64"/>
      <c r="L359" s="321" t="s">
        <v>643</v>
      </c>
      <c r="N359" s="507" t="s">
        <v>1020</v>
      </c>
    </row>
    <row r="360" spans="1:14" ht="24.6" customHeight="1" thickTop="1" thickBot="1" x14ac:dyDescent="0.3">
      <c r="A360" s="210"/>
      <c r="B360" s="95" t="s">
        <v>953</v>
      </c>
      <c r="C360" s="95"/>
      <c r="D360" s="95"/>
      <c r="E360" s="95"/>
      <c r="F360" s="95"/>
      <c r="G360" s="95"/>
      <c r="H360" s="96">
        <f>SUM(H349:H359)</f>
        <v>7429282878</v>
      </c>
      <c r="I360" s="454">
        <f>SUM(I349:I359)</f>
        <v>986035288.07000005</v>
      </c>
      <c r="J360" s="454">
        <f>SUM(J349:J359)</f>
        <v>943378671.61000001</v>
      </c>
      <c r="L360" s="489">
        <f>J360-BILANCA!L51</f>
        <v>0</v>
      </c>
    </row>
    <row r="361" spans="1:14" ht="18" customHeight="1" thickTop="1" x14ac:dyDescent="0.25">
      <c r="A361" s="65"/>
      <c r="B361" s="97"/>
      <c r="C361" s="97"/>
      <c r="D361" s="97"/>
      <c r="E361" s="97"/>
      <c r="F361" s="228"/>
      <c r="G361" s="83"/>
      <c r="H361" s="228"/>
      <c r="I361" s="228"/>
      <c r="J361" s="228"/>
      <c r="L361" s="455">
        <f>H360/L2</f>
        <v>986035288.07485557</v>
      </c>
    </row>
    <row r="362" spans="1:14" ht="20.25" customHeight="1" x14ac:dyDescent="0.25">
      <c r="A362" s="74" t="s">
        <v>645</v>
      </c>
      <c r="B362" s="726" t="s">
        <v>646</v>
      </c>
      <c r="C362" s="726"/>
      <c r="D362" s="726"/>
      <c r="E362" s="224"/>
      <c r="F362" s="127"/>
      <c r="G362" s="127"/>
    </row>
    <row r="363" spans="1:14" ht="15.75" customHeight="1" thickBot="1" x14ac:dyDescent="0.3">
      <c r="A363" s="74"/>
      <c r="B363" s="99"/>
      <c r="C363" s="99"/>
      <c r="D363" s="99"/>
      <c r="E363" s="224"/>
      <c r="F363" s="127"/>
      <c r="G363" s="127"/>
      <c r="H363" s="22" t="s">
        <v>171</v>
      </c>
      <c r="I363" s="22"/>
      <c r="J363" s="22" t="s">
        <v>1005</v>
      </c>
    </row>
    <row r="364" spans="1:14" s="76" customFormat="1" ht="31.5" thickTop="1" thickBot="1" x14ac:dyDescent="0.3">
      <c r="A364" s="80" t="s">
        <v>266</v>
      </c>
      <c r="B364" s="80" t="s">
        <v>265</v>
      </c>
      <c r="C364" s="81"/>
      <c r="D364" s="81"/>
      <c r="E364" s="81"/>
      <c r="F364" s="81"/>
      <c r="G364" s="81"/>
      <c r="H364" s="82" t="str">
        <f>H7</f>
        <v>2022.</v>
      </c>
      <c r="I364" s="82" t="str">
        <f>I7</f>
        <v>2022.</v>
      </c>
      <c r="J364" s="82" t="str">
        <f>J7</f>
        <v>2023.</v>
      </c>
      <c r="L364" s="318"/>
      <c r="M364" s="77"/>
      <c r="N364" s="77"/>
    </row>
    <row r="365" spans="1:14" ht="15" customHeight="1" thickTop="1" x14ac:dyDescent="0.25">
      <c r="A365" s="88">
        <v>1</v>
      </c>
      <c r="B365" s="97" t="s">
        <v>647</v>
      </c>
      <c r="C365" s="90"/>
      <c r="D365" s="90"/>
      <c r="E365" s="90"/>
      <c r="F365" s="90"/>
      <c r="G365" s="90"/>
      <c r="H365" s="75">
        <v>4917248</v>
      </c>
      <c r="I365" s="196">
        <f>+ROUND((H365/$L$2),2)</f>
        <v>652630.96</v>
      </c>
      <c r="J365" s="196">
        <v>44858.76</v>
      </c>
      <c r="L365" s="314">
        <v>12100000</v>
      </c>
    </row>
    <row r="366" spans="1:14" ht="15" customHeight="1" x14ac:dyDescent="0.25">
      <c r="A366" s="88">
        <v>2</v>
      </c>
      <c r="B366" s="97" t="s">
        <v>648</v>
      </c>
      <c r="C366" s="90"/>
      <c r="D366" s="90"/>
      <c r="E366" s="90"/>
      <c r="F366" s="90"/>
      <c r="G366" s="90"/>
      <c r="H366" s="75">
        <v>2064668</v>
      </c>
      <c r="I366" s="196">
        <f>+ROUND((H366/$L$2),2)</f>
        <v>274028.53999999998</v>
      </c>
      <c r="J366" s="196">
        <v>103416.06</v>
      </c>
      <c r="L366" s="314">
        <v>12101000</v>
      </c>
    </row>
    <row r="367" spans="1:14" ht="15" customHeight="1" x14ac:dyDescent="0.25">
      <c r="A367" s="88">
        <v>3</v>
      </c>
      <c r="B367" s="97" t="s">
        <v>649</v>
      </c>
      <c r="C367" s="90"/>
      <c r="D367" s="90"/>
      <c r="E367" s="90"/>
      <c r="F367" s="90"/>
      <c r="G367" s="90"/>
      <c r="H367" s="75">
        <v>19445202</v>
      </c>
      <c r="I367" s="196">
        <f>+ROUND((H367/$L$2),2)</f>
        <v>2580821.8199999998</v>
      </c>
      <c r="J367" s="196">
        <v>5687783.4000000004</v>
      </c>
      <c r="L367" s="314">
        <v>122</v>
      </c>
    </row>
    <row r="368" spans="1:14" ht="15" customHeight="1" x14ac:dyDescent="0.25">
      <c r="A368" s="88">
        <v>4</v>
      </c>
      <c r="B368" s="97" t="s">
        <v>650</v>
      </c>
      <c r="C368" s="90"/>
      <c r="D368" s="90"/>
      <c r="E368" s="90"/>
      <c r="F368" s="90"/>
      <c r="G368" s="90"/>
      <c r="H368" s="75">
        <v>230035263</v>
      </c>
      <c r="I368" s="196">
        <f>+ROUND((H368/$L$2),2)</f>
        <v>30530926.140000001</v>
      </c>
      <c r="J368" s="196">
        <v>30126124.559999999</v>
      </c>
      <c r="L368" s="314">
        <v>120</v>
      </c>
    </row>
    <row r="369" spans="1:14" ht="15" customHeight="1" thickBot="1" x14ac:dyDescent="0.3">
      <c r="A369" s="88">
        <v>5</v>
      </c>
      <c r="B369" s="97" t="s">
        <v>651</v>
      </c>
      <c r="C369" s="90"/>
      <c r="D369" s="90"/>
      <c r="E369" s="90"/>
      <c r="F369" s="90"/>
      <c r="G369" s="90"/>
      <c r="H369" s="75">
        <v>-128277148</v>
      </c>
      <c r="I369" s="196">
        <f>+ROUND((H369/$L$2),2)</f>
        <v>-17025303.34</v>
      </c>
      <c r="J369" s="196">
        <v>-16996402.640000001</v>
      </c>
      <c r="L369" s="314">
        <v>129</v>
      </c>
    </row>
    <row r="370" spans="1:14" s="76" customFormat="1" ht="24.6" customHeight="1" thickTop="1" thickBot="1" x14ac:dyDescent="0.3">
      <c r="A370" s="95"/>
      <c r="B370" s="95" t="s">
        <v>308</v>
      </c>
      <c r="C370" s="95"/>
      <c r="D370" s="95"/>
      <c r="E370" s="95"/>
      <c r="F370" s="95"/>
      <c r="G370" s="96"/>
      <c r="H370" s="96">
        <f>SUM(H365:H369)</f>
        <v>128185233</v>
      </c>
      <c r="I370" s="454">
        <f>SUM(I365:I369)</f>
        <v>17013104.120000001</v>
      </c>
      <c r="J370" s="454">
        <f>SUM(J365:J369)</f>
        <v>18965780.140000001</v>
      </c>
      <c r="L370" s="460">
        <f>J370-BILANCA!L53</f>
        <v>0</v>
      </c>
      <c r="M370" s="77"/>
      <c r="N370" s="77"/>
    </row>
    <row r="371" spans="1:14" s="76" customFormat="1" ht="24.6" customHeight="1" thickTop="1" x14ac:dyDescent="0.25">
      <c r="A371" s="100"/>
      <c r="B371" s="100"/>
      <c r="C371" s="100"/>
      <c r="D371" s="100"/>
      <c r="E371" s="100"/>
      <c r="F371" s="100"/>
      <c r="G371" s="112"/>
      <c r="H371" s="112"/>
      <c r="I371" s="112"/>
      <c r="J371" s="112"/>
      <c r="L371" s="460">
        <f>H370/L2</f>
        <v>17013104.121043202</v>
      </c>
      <c r="M371" s="77"/>
      <c r="N371" s="77"/>
    </row>
    <row r="372" spans="1:14" s="76" customFormat="1" ht="19.5" customHeight="1" x14ac:dyDescent="0.25">
      <c r="A372" s="557" t="s">
        <v>652</v>
      </c>
      <c r="B372" s="557" t="s">
        <v>1074</v>
      </c>
      <c r="C372" s="557"/>
      <c r="D372" s="557"/>
      <c r="E372" s="100"/>
      <c r="F372" s="100"/>
      <c r="G372" s="112"/>
      <c r="H372" s="112"/>
      <c r="I372" s="112"/>
      <c r="J372" s="112"/>
      <c r="L372" s="460"/>
      <c r="M372" s="77"/>
      <c r="N372" s="77"/>
    </row>
    <row r="373" spans="1:14" s="76" customFormat="1" ht="15" customHeight="1" thickBot="1" x14ac:dyDescent="0.3">
      <c r="A373" s="568"/>
      <c r="B373" s="572"/>
      <c r="C373" s="572"/>
      <c r="D373" s="572"/>
      <c r="E373" s="224"/>
      <c r="F373" s="127"/>
      <c r="G373" s="127"/>
      <c r="H373" s="22" t="s">
        <v>171</v>
      </c>
      <c r="I373" s="22"/>
      <c r="J373" s="22" t="s">
        <v>1005</v>
      </c>
      <c r="L373" s="460"/>
      <c r="M373" s="77"/>
      <c r="N373" s="77"/>
    </row>
    <row r="374" spans="1:14" s="76" customFormat="1" ht="32.25" customHeight="1" thickTop="1" thickBot="1" x14ac:dyDescent="0.3">
      <c r="A374" s="80" t="s">
        <v>266</v>
      </c>
      <c r="B374" s="80" t="s">
        <v>265</v>
      </c>
      <c r="C374" s="81"/>
      <c r="D374" s="81"/>
      <c r="E374" s="81"/>
      <c r="F374" s="81"/>
      <c r="G374" s="81"/>
      <c r="H374" s="82" t="str">
        <f>H7</f>
        <v>2022.</v>
      </c>
      <c r="I374" s="82" t="str">
        <f>I7</f>
        <v>2022.</v>
      </c>
      <c r="J374" s="82" t="str">
        <f>J7</f>
        <v>2023.</v>
      </c>
      <c r="L374" s="460"/>
      <c r="M374" s="77"/>
      <c r="N374" s="77"/>
    </row>
    <row r="375" spans="1:14" s="76" customFormat="1" ht="30.75" customHeight="1" thickTop="1" x14ac:dyDescent="0.25">
      <c r="A375" s="375">
        <v>1</v>
      </c>
      <c r="B375" s="721" t="s">
        <v>1087</v>
      </c>
      <c r="C375" s="728"/>
      <c r="D375" s="728"/>
      <c r="E375" s="728"/>
      <c r="F375" s="728"/>
      <c r="G375" s="90"/>
      <c r="H375" s="75"/>
      <c r="I375" s="196"/>
      <c r="J375" s="196">
        <v>547075454.25</v>
      </c>
      <c r="L375" s="328" t="s">
        <v>1086</v>
      </c>
      <c r="M375" s="77"/>
      <c r="N375" s="77"/>
    </row>
    <row r="376" spans="1:14" s="76" customFormat="1" ht="15" customHeight="1" x14ac:dyDescent="0.25">
      <c r="A376" s="88">
        <v>2</v>
      </c>
      <c r="B376" s="576" t="s">
        <v>1089</v>
      </c>
      <c r="C376" s="575"/>
      <c r="D376" s="575"/>
      <c r="E376" s="575"/>
      <c r="F376" s="575"/>
      <c r="G376" s="90"/>
      <c r="H376" s="102">
        <v>29178271</v>
      </c>
      <c r="I376" s="453">
        <f>+ROUND((H376/$L$2),2)</f>
        <v>3872622.07</v>
      </c>
      <c r="J376" s="453"/>
      <c r="L376" s="328" t="s">
        <v>1088</v>
      </c>
      <c r="M376" s="77"/>
      <c r="N376" s="77"/>
    </row>
    <row r="377" spans="1:14" s="76" customFormat="1" ht="16.5" customHeight="1" thickBot="1" x14ac:dyDescent="0.3">
      <c r="A377" s="88">
        <v>3</v>
      </c>
      <c r="B377" s="784" t="s">
        <v>310</v>
      </c>
      <c r="C377" s="728"/>
      <c r="D377" s="728"/>
      <c r="E377" s="728"/>
      <c r="F377" s="728"/>
      <c r="G377" s="90"/>
      <c r="H377" s="75"/>
      <c r="I377" s="196"/>
      <c r="J377" s="196">
        <v>2.39</v>
      </c>
      <c r="L377" s="328" t="s">
        <v>1085</v>
      </c>
      <c r="M377" s="77"/>
      <c r="N377" s="77"/>
    </row>
    <row r="378" spans="1:14" s="76" customFormat="1" ht="16.5" customHeight="1" thickTop="1" thickBot="1" x14ac:dyDescent="0.3">
      <c r="A378" s="95"/>
      <c r="B378" s="95" t="s">
        <v>270</v>
      </c>
      <c r="C378" s="95"/>
      <c r="D378" s="95"/>
      <c r="E378" s="95"/>
      <c r="F378" s="95"/>
      <c r="G378" s="96"/>
      <c r="H378" s="96">
        <f>SUM(H375:H377)</f>
        <v>29178271</v>
      </c>
      <c r="I378" s="454">
        <f>SUM(I375:I377)</f>
        <v>3872622.07</v>
      </c>
      <c r="J378" s="454">
        <f>SUM(J375:J377)</f>
        <v>547075456.63999999</v>
      </c>
      <c r="L378" s="460">
        <f>J378-BILANCA!L55</f>
        <v>0</v>
      </c>
      <c r="M378" s="77"/>
      <c r="N378" s="77"/>
    </row>
    <row r="379" spans="1:14" s="76" customFormat="1" ht="16.5" customHeight="1" thickTop="1" x14ac:dyDescent="0.25">
      <c r="A379" s="100"/>
      <c r="B379" s="100"/>
      <c r="C379" s="100"/>
      <c r="D379" s="100"/>
      <c r="E379" s="100"/>
      <c r="F379" s="100"/>
      <c r="G379" s="112"/>
      <c r="H379" s="112"/>
      <c r="I379" s="595"/>
      <c r="J379" s="595"/>
      <c r="L379" s="460">
        <f>H378/L2</f>
        <v>3872622.0718030389</v>
      </c>
      <c r="M379" s="77"/>
      <c r="N379" s="77"/>
    </row>
    <row r="380" spans="1:14" ht="20.25" customHeight="1" x14ac:dyDescent="0.25">
      <c r="A380" s="283" t="s">
        <v>654</v>
      </c>
      <c r="B380" s="726" t="s">
        <v>845</v>
      </c>
      <c r="C380" s="726"/>
      <c r="D380" s="726"/>
      <c r="E380" s="224"/>
      <c r="F380" s="127"/>
      <c r="G380" s="127"/>
    </row>
    <row r="381" spans="1:14" ht="15.75" customHeight="1" thickBot="1" x14ac:dyDescent="0.3">
      <c r="A381" s="283"/>
      <c r="B381" s="286"/>
      <c r="C381" s="286"/>
      <c r="D381" s="286"/>
      <c r="E381" s="224"/>
      <c r="F381" s="127"/>
      <c r="G381" s="127"/>
      <c r="H381" s="22" t="s">
        <v>171</v>
      </c>
      <c r="I381" s="22"/>
      <c r="J381" s="22" t="s">
        <v>1005</v>
      </c>
    </row>
    <row r="382" spans="1:14" s="76" customFormat="1" ht="31.5" thickTop="1" thickBot="1" x14ac:dyDescent="0.3">
      <c r="A382" s="80" t="s">
        <v>266</v>
      </c>
      <c r="B382" s="80" t="s">
        <v>265</v>
      </c>
      <c r="C382" s="81"/>
      <c r="D382" s="81"/>
      <c r="E382" s="81"/>
      <c r="F382" s="81"/>
      <c r="G382" s="81"/>
      <c r="H382" s="82" t="str">
        <f>H7</f>
        <v>2022.</v>
      </c>
      <c r="I382" s="82" t="str">
        <f>I7</f>
        <v>2022.</v>
      </c>
      <c r="J382" s="82" t="str">
        <f>J7</f>
        <v>2023.</v>
      </c>
      <c r="L382" s="318"/>
      <c r="M382" s="77"/>
      <c r="N382" s="77"/>
    </row>
    <row r="383" spans="1:14" ht="15" customHeight="1" thickTop="1" x14ac:dyDescent="0.25">
      <c r="A383" s="88">
        <v>1</v>
      </c>
      <c r="B383" s="721" t="s">
        <v>851</v>
      </c>
      <c r="C383" s="728"/>
      <c r="D383" s="728"/>
      <c r="E383" s="728"/>
      <c r="F383" s="728"/>
      <c r="G383" s="90"/>
      <c r="H383" s="75">
        <f>722671-420050</f>
        <v>302621</v>
      </c>
      <c r="I383" s="196">
        <f>+ROUND((H383/$L$2),2)</f>
        <v>40164.71</v>
      </c>
      <c r="J383" s="196">
        <f>84477.54-55750.22</f>
        <v>28727.319999999992</v>
      </c>
      <c r="L383" s="320" t="s">
        <v>853</v>
      </c>
    </row>
    <row r="384" spans="1:14" ht="15" hidden="1" customHeight="1" x14ac:dyDescent="0.25">
      <c r="A384" s="88">
        <v>2</v>
      </c>
      <c r="B384" s="727" t="s">
        <v>913</v>
      </c>
      <c r="C384" s="728"/>
      <c r="D384" s="728"/>
      <c r="E384" s="728"/>
      <c r="F384" s="728"/>
      <c r="G384" s="90"/>
      <c r="H384" s="75"/>
      <c r="I384" s="196">
        <f>+ROUND((H384/$L$2),2)</f>
        <v>0</v>
      </c>
      <c r="J384" s="196"/>
      <c r="L384" s="320" t="s">
        <v>906</v>
      </c>
    </row>
    <row r="385" spans="1:14" ht="15" customHeight="1" x14ac:dyDescent="0.25">
      <c r="A385" s="88">
        <v>2</v>
      </c>
      <c r="B385" s="727" t="s">
        <v>852</v>
      </c>
      <c r="C385" s="728"/>
      <c r="D385" s="728"/>
      <c r="E385" s="728"/>
      <c r="F385" s="728"/>
      <c r="G385" s="90"/>
      <c r="H385" s="75">
        <v>147002441</v>
      </c>
      <c r="I385" s="196">
        <f>+ROUND((H385/$L$2),2)</f>
        <v>19510576.809999999</v>
      </c>
      <c r="J385" s="196">
        <f>22419135.51-5702878.46</f>
        <v>16716257.050000001</v>
      </c>
      <c r="L385" s="741" t="s">
        <v>1091</v>
      </c>
      <c r="M385" s="723"/>
    </row>
    <row r="386" spans="1:14" ht="15" customHeight="1" x14ac:dyDescent="0.25">
      <c r="A386" s="88">
        <v>3</v>
      </c>
      <c r="B386" s="628" t="s">
        <v>1072</v>
      </c>
      <c r="C386" s="574"/>
      <c r="D386" s="574"/>
      <c r="E386" s="574"/>
      <c r="F386" s="574"/>
      <c r="G386" s="90"/>
      <c r="H386" s="75"/>
      <c r="I386" s="196"/>
      <c r="J386" s="196">
        <v>66487454.049999997</v>
      </c>
      <c r="L386" s="558">
        <v>16790010</v>
      </c>
    </row>
    <row r="387" spans="1:14" ht="15" customHeight="1" x14ac:dyDescent="0.25">
      <c r="A387" s="88">
        <v>4</v>
      </c>
      <c r="B387" s="592" t="s">
        <v>1136</v>
      </c>
      <c r="C387" s="588"/>
      <c r="D387" s="588"/>
      <c r="E387" s="588"/>
      <c r="F387" s="588"/>
      <c r="G387" s="90"/>
      <c r="H387" s="75"/>
      <c r="I387" s="196"/>
      <c r="J387" s="196">
        <v>8486461.1899999995</v>
      </c>
      <c r="L387" s="741" t="s">
        <v>1073</v>
      </c>
      <c r="M387" s="723"/>
    </row>
    <row r="388" spans="1:14" ht="15" customHeight="1" thickBot="1" x14ac:dyDescent="0.25">
      <c r="A388" s="88">
        <v>5</v>
      </c>
      <c r="B388" s="727" t="s">
        <v>304</v>
      </c>
      <c r="C388" s="728"/>
      <c r="D388" s="728"/>
      <c r="E388" s="728"/>
      <c r="F388" s="728"/>
      <c r="G388" s="90"/>
      <c r="H388" s="75">
        <f>6427790+7+75+28136+14834645-245708+148894</f>
        <v>21193839</v>
      </c>
      <c r="I388" s="196">
        <f>+ROUND((H388/$L$2),2)+0.01</f>
        <v>2812905.84</v>
      </c>
      <c r="J388" s="467">
        <f>16248.62+858215.37+37374.39+8508413.86-8486461.19-1</f>
        <v>933790.05000000075</v>
      </c>
      <c r="L388" s="329" t="s">
        <v>1060</v>
      </c>
      <c r="M388" s="308"/>
      <c r="N388" s="507" t="s">
        <v>1018</v>
      </c>
    </row>
    <row r="389" spans="1:14" s="76" customFormat="1" ht="24.6" customHeight="1" thickTop="1" thickBot="1" x14ac:dyDescent="0.3">
      <c r="A389" s="95"/>
      <c r="B389" s="95" t="s">
        <v>308</v>
      </c>
      <c r="C389" s="95"/>
      <c r="D389" s="95"/>
      <c r="E389" s="95"/>
      <c r="F389" s="95"/>
      <c r="G389" s="96"/>
      <c r="H389" s="96">
        <f>SUM(H383:H388)</f>
        <v>168498901</v>
      </c>
      <c r="I389" s="454">
        <f>SUM(I383:I388)</f>
        <v>22363647.359999999</v>
      </c>
      <c r="J389" s="454">
        <f>SUM(J383:J388)</f>
        <v>92652689.659999996</v>
      </c>
      <c r="L389" s="460">
        <f>J389-BILANCA!L56</f>
        <v>0</v>
      </c>
      <c r="M389" s="77"/>
    </row>
    <row r="390" spans="1:14" s="76" customFormat="1" ht="24.6" customHeight="1" thickTop="1" x14ac:dyDescent="0.25">
      <c r="A390" s="100"/>
      <c r="B390" s="100"/>
      <c r="C390" s="100"/>
      <c r="D390" s="100"/>
      <c r="E390" s="100"/>
      <c r="F390" s="100"/>
      <c r="G390" s="112"/>
      <c r="H390" s="112"/>
      <c r="I390" s="112"/>
      <c r="J390" s="112"/>
      <c r="L390" s="460">
        <f>H389/L2</f>
        <v>22363647.355498042</v>
      </c>
      <c r="M390" s="77"/>
      <c r="N390" s="351"/>
    </row>
    <row r="391" spans="1:14" ht="20.25" customHeight="1" x14ac:dyDescent="0.25">
      <c r="A391" s="283" t="s">
        <v>660</v>
      </c>
      <c r="B391" s="726" t="s">
        <v>847</v>
      </c>
      <c r="C391" s="726"/>
      <c r="D391" s="726"/>
      <c r="E391" s="224"/>
      <c r="F391" s="127"/>
      <c r="G391" s="127"/>
    </row>
    <row r="392" spans="1:14" ht="15.75" customHeight="1" thickBot="1" x14ac:dyDescent="0.3">
      <c r="A392" s="283"/>
      <c r="B392" s="286"/>
      <c r="C392" s="286"/>
      <c r="D392" s="286"/>
      <c r="E392" s="224"/>
      <c r="F392" s="127"/>
      <c r="G392" s="127"/>
      <c r="H392" s="22" t="s">
        <v>171</v>
      </c>
      <c r="I392" s="22"/>
      <c r="J392" s="22" t="s">
        <v>1005</v>
      </c>
    </row>
    <row r="393" spans="1:14" s="76" customFormat="1" ht="31.5" thickTop="1" thickBot="1" x14ac:dyDescent="0.3">
      <c r="A393" s="80" t="s">
        <v>266</v>
      </c>
      <c r="B393" s="80" t="s">
        <v>265</v>
      </c>
      <c r="C393" s="81"/>
      <c r="D393" s="81"/>
      <c r="E393" s="81"/>
      <c r="F393" s="81"/>
      <c r="G393" s="81"/>
      <c r="H393" s="82" t="str">
        <f>H7</f>
        <v>2022.</v>
      </c>
      <c r="I393" s="82" t="str">
        <f>I7</f>
        <v>2022.</v>
      </c>
      <c r="J393" s="82" t="str">
        <f>J7</f>
        <v>2023.</v>
      </c>
      <c r="L393" s="318"/>
      <c r="M393" s="121"/>
      <c r="N393" s="77"/>
    </row>
    <row r="394" spans="1:14" ht="15" customHeight="1" thickTop="1" x14ac:dyDescent="0.25">
      <c r="A394" s="88">
        <v>1</v>
      </c>
      <c r="B394" s="289" t="s">
        <v>848</v>
      </c>
      <c r="C394" s="90"/>
      <c r="D394" s="90"/>
      <c r="E394" s="90"/>
      <c r="F394" s="90"/>
      <c r="G394" s="90"/>
      <c r="H394" s="75">
        <v>29768438</v>
      </c>
      <c r="I394" s="196">
        <f>+ROUND((H394/$L$2),2)</f>
        <v>3950950.69</v>
      </c>
      <c r="J394" s="196">
        <v>8480450.6099999994</v>
      </c>
      <c r="L394" s="314">
        <v>15400010</v>
      </c>
    </row>
    <row r="395" spans="1:14" ht="15" customHeight="1" thickBot="1" x14ac:dyDescent="0.3">
      <c r="A395" s="88">
        <v>2</v>
      </c>
      <c r="B395" s="289" t="s">
        <v>849</v>
      </c>
      <c r="C395" s="90"/>
      <c r="D395" s="90"/>
      <c r="E395" s="90"/>
      <c r="F395" s="90"/>
      <c r="G395" s="90"/>
      <c r="H395" s="75">
        <v>36055159</v>
      </c>
      <c r="I395" s="196">
        <f>+ROUND((H395/$L$2),2)</f>
        <v>4785341.96</v>
      </c>
      <c r="J395" s="196">
        <v>609090.91</v>
      </c>
      <c r="L395" s="314">
        <v>15400012</v>
      </c>
    </row>
    <row r="396" spans="1:14" s="76" customFormat="1" ht="24.6" customHeight="1" thickTop="1" thickBot="1" x14ac:dyDescent="0.3">
      <c r="A396" s="95"/>
      <c r="B396" s="95" t="s">
        <v>272</v>
      </c>
      <c r="C396" s="95"/>
      <c r="D396" s="95"/>
      <c r="E396" s="95"/>
      <c r="F396" s="95"/>
      <c r="G396" s="96"/>
      <c r="H396" s="96">
        <f>SUM(H394:H395)</f>
        <v>65823597</v>
      </c>
      <c r="I396" s="454">
        <f>SUM(I394:I395)</f>
        <v>8736292.6500000004</v>
      </c>
      <c r="J396" s="454">
        <f>SUM(J394:J395)</f>
        <v>9089541.5199999996</v>
      </c>
      <c r="L396" s="460">
        <f>J396-BILANCA!L65</f>
        <v>0</v>
      </c>
      <c r="M396" s="77"/>
      <c r="N396" s="77"/>
    </row>
    <row r="397" spans="1:14" s="76" customFormat="1" ht="24.6" customHeight="1" thickTop="1" x14ac:dyDescent="0.25">
      <c r="A397" s="100"/>
      <c r="B397" s="100"/>
      <c r="C397" s="100"/>
      <c r="D397" s="100"/>
      <c r="E397" s="100"/>
      <c r="F397" s="100"/>
      <c r="G397" s="112"/>
      <c r="H397" s="112"/>
      <c r="I397" s="112"/>
      <c r="J397" s="112"/>
      <c r="L397" s="460">
        <f>H396/L2</f>
        <v>8736292.6537925545</v>
      </c>
      <c r="M397" s="77"/>
      <c r="N397" s="77"/>
    </row>
    <row r="398" spans="1:14" ht="20.25" hidden="1" customHeight="1" x14ac:dyDescent="0.25">
      <c r="A398" s="283" t="s">
        <v>654</v>
      </c>
      <c r="B398" s="726" t="s">
        <v>653</v>
      </c>
      <c r="C398" s="726"/>
      <c r="D398" s="726"/>
      <c r="E398" s="224"/>
      <c r="F398" s="127"/>
      <c r="G398" s="127"/>
    </row>
    <row r="399" spans="1:14" ht="15.75" hidden="1" customHeight="1" thickBot="1" x14ac:dyDescent="0.3">
      <c r="A399" s="283"/>
      <c r="B399" s="286"/>
      <c r="C399" s="286"/>
      <c r="D399" s="286"/>
      <c r="E399" s="224"/>
      <c r="F399" s="127"/>
      <c r="G399" s="127"/>
      <c r="H399" s="22" t="s">
        <v>171</v>
      </c>
      <c r="I399" s="22" t="s">
        <v>1005</v>
      </c>
      <c r="J399" s="22" t="s">
        <v>1005</v>
      </c>
    </row>
    <row r="400" spans="1:14" s="76" customFormat="1" ht="31.5" hidden="1" thickTop="1" thickBot="1" x14ac:dyDescent="0.3">
      <c r="A400" s="80" t="s">
        <v>266</v>
      </c>
      <c r="B400" s="80" t="s">
        <v>265</v>
      </c>
      <c r="C400" s="81"/>
      <c r="D400" s="81"/>
      <c r="E400" s="81"/>
      <c r="F400" s="81"/>
      <c r="G400" s="81"/>
      <c r="H400" s="82" t="str">
        <f>H7</f>
        <v>2022.</v>
      </c>
      <c r="I400" s="82" t="str">
        <f>I7</f>
        <v>2022.</v>
      </c>
      <c r="J400" s="82" t="str">
        <f>J7</f>
        <v>2023.</v>
      </c>
      <c r="L400" s="318"/>
      <c r="M400" s="77"/>
      <c r="N400" s="77"/>
    </row>
    <row r="401" spans="1:14" ht="15" hidden="1" customHeight="1" thickTop="1" x14ac:dyDescent="0.25">
      <c r="A401" s="88">
        <v>1</v>
      </c>
      <c r="B401" s="289" t="s">
        <v>850</v>
      </c>
      <c r="C401" s="90"/>
      <c r="D401" s="90"/>
      <c r="E401" s="90"/>
      <c r="F401" s="90"/>
      <c r="G401" s="90"/>
      <c r="H401" s="75"/>
      <c r="I401" s="196"/>
      <c r="J401" s="196"/>
      <c r="L401" s="314">
        <v>150</v>
      </c>
    </row>
    <row r="402" spans="1:14" ht="15" hidden="1" customHeight="1" thickBot="1" x14ac:dyDescent="0.3">
      <c r="A402" s="88">
        <v>2</v>
      </c>
      <c r="B402" s="727" t="s">
        <v>913</v>
      </c>
      <c r="C402" s="728"/>
      <c r="D402" s="728"/>
      <c r="E402" s="728"/>
      <c r="F402" s="728"/>
      <c r="G402" s="90"/>
      <c r="H402" s="75"/>
      <c r="I402" s="196"/>
      <c r="J402" s="196"/>
      <c r="L402" s="376" t="s">
        <v>906</v>
      </c>
    </row>
    <row r="403" spans="1:14" s="76" customFormat="1" ht="24.6" hidden="1" customHeight="1" thickTop="1" thickBot="1" x14ac:dyDescent="0.3">
      <c r="A403" s="95"/>
      <c r="B403" s="95" t="s">
        <v>1003</v>
      </c>
      <c r="C403" s="95"/>
      <c r="D403" s="95"/>
      <c r="E403" s="95"/>
      <c r="F403" s="95"/>
      <c r="G403" s="96"/>
      <c r="H403" s="96">
        <f>SUM(H401:H401)</f>
        <v>0</v>
      </c>
      <c r="I403" s="454">
        <f>SUM(I401:I401)</f>
        <v>0</v>
      </c>
      <c r="J403" s="454">
        <f>SUM(J401:J401)</f>
        <v>0</v>
      </c>
      <c r="L403" s="317">
        <f>J403-0</f>
        <v>0</v>
      </c>
      <c r="M403" s="77"/>
      <c r="N403" s="77"/>
    </row>
    <row r="404" spans="1:14" s="76" customFormat="1" ht="24.6" hidden="1" customHeight="1" x14ac:dyDescent="0.25">
      <c r="A404" s="100"/>
      <c r="B404" s="100"/>
      <c r="C404" s="100"/>
      <c r="D404" s="100"/>
      <c r="E404" s="100"/>
      <c r="F404" s="100"/>
      <c r="G404" s="112"/>
      <c r="H404" s="112"/>
      <c r="I404" s="112"/>
      <c r="J404" s="112"/>
      <c r="L404" s="317"/>
      <c r="M404" s="77"/>
      <c r="N404" s="77"/>
    </row>
    <row r="405" spans="1:14" ht="20.25" customHeight="1" x14ac:dyDescent="0.25">
      <c r="A405" s="283" t="s">
        <v>662</v>
      </c>
      <c r="B405" s="726" t="s">
        <v>846</v>
      </c>
      <c r="C405" s="726"/>
      <c r="D405" s="726"/>
      <c r="E405" s="224"/>
      <c r="F405" s="127"/>
      <c r="G405" s="127"/>
    </row>
    <row r="406" spans="1:14" ht="15.75" customHeight="1" thickBot="1" x14ac:dyDescent="0.3">
      <c r="A406" s="283"/>
      <c r="B406" s="283"/>
      <c r="C406" s="283"/>
      <c r="D406" s="283"/>
      <c r="E406" s="224"/>
      <c r="F406" s="127"/>
      <c r="G406" s="127"/>
      <c r="H406" s="22" t="s">
        <v>171</v>
      </c>
      <c r="I406" s="22"/>
      <c r="J406" s="22" t="s">
        <v>1005</v>
      </c>
    </row>
    <row r="407" spans="1:14" ht="31.5" customHeight="1" thickTop="1" thickBot="1" x14ac:dyDescent="0.3">
      <c r="A407" s="80" t="s">
        <v>266</v>
      </c>
      <c r="B407" s="80" t="s">
        <v>265</v>
      </c>
      <c r="C407" s="81"/>
      <c r="D407" s="81"/>
      <c r="E407" s="81"/>
      <c r="F407" s="81"/>
      <c r="G407" s="81"/>
      <c r="H407" s="82" t="str">
        <f>H7</f>
        <v>2022.</v>
      </c>
      <c r="I407" s="82" t="str">
        <f>I7</f>
        <v>2022.</v>
      </c>
      <c r="J407" s="82" t="str">
        <f>J7</f>
        <v>2023.</v>
      </c>
    </row>
    <row r="408" spans="1:14" ht="15" customHeight="1" thickTop="1" x14ac:dyDescent="0.25">
      <c r="A408" s="88">
        <v>1</v>
      </c>
      <c r="B408" s="289" t="s">
        <v>655</v>
      </c>
      <c r="C408" s="90"/>
      <c r="D408" s="90"/>
      <c r="E408" s="90"/>
      <c r="F408" s="90"/>
      <c r="G408" s="90"/>
      <c r="H408" s="75">
        <v>683864765</v>
      </c>
      <c r="I408" s="196">
        <f>+ROUND((H408/$L$2),2)</f>
        <v>90764452.189999998</v>
      </c>
      <c r="J408" s="196">
        <v>117855090.25</v>
      </c>
      <c r="L408" s="314">
        <v>100</v>
      </c>
    </row>
    <row r="409" spans="1:14" ht="15" customHeight="1" x14ac:dyDescent="0.25">
      <c r="A409" s="88">
        <v>2</v>
      </c>
      <c r="B409" s="289" t="s">
        <v>992</v>
      </c>
      <c r="C409" s="90"/>
      <c r="D409" s="90"/>
      <c r="E409" s="90"/>
      <c r="F409" s="90"/>
      <c r="G409" s="90"/>
      <c r="H409" s="75">
        <v>1096</v>
      </c>
      <c r="I409" s="196">
        <f>+ROUND((H409/$L$2),2)</f>
        <v>145.46</v>
      </c>
      <c r="J409" s="196">
        <f>1403.66+565.82</f>
        <v>1969.48</v>
      </c>
      <c r="L409" s="314">
        <v>102.105</v>
      </c>
    </row>
    <row r="410" spans="1:14" s="76" customFormat="1" ht="15" customHeight="1" x14ac:dyDescent="0.25">
      <c r="A410" s="88">
        <v>3</v>
      </c>
      <c r="B410" s="289" t="s">
        <v>656</v>
      </c>
      <c r="C410" s="90"/>
      <c r="D410" s="90"/>
      <c r="E410" s="90"/>
      <c r="F410" s="90"/>
      <c r="G410" s="90"/>
      <c r="H410" s="75">
        <f>222875913-29580</f>
        <v>222846333</v>
      </c>
      <c r="I410" s="196">
        <f>+ROUND((H410/$L$2),2)</f>
        <v>29576791.16</v>
      </c>
      <c r="J410" s="196">
        <v>27989932</v>
      </c>
      <c r="L410" s="318">
        <v>103</v>
      </c>
      <c r="M410" s="77"/>
      <c r="N410" s="77"/>
    </row>
    <row r="411" spans="1:14" s="76" customFormat="1" ht="15" customHeight="1" x14ac:dyDescent="0.25">
      <c r="A411" s="88">
        <v>4</v>
      </c>
      <c r="B411" s="289" t="s">
        <v>657</v>
      </c>
      <c r="C411" s="90"/>
      <c r="D411" s="90"/>
      <c r="E411" s="90"/>
      <c r="F411" s="90"/>
      <c r="G411" s="90"/>
      <c r="H411" s="75">
        <v>8675965</v>
      </c>
      <c r="I411" s="196">
        <f>+ROUND((H411/$L$2),2)</f>
        <v>1151498.44</v>
      </c>
      <c r="J411" s="196">
        <v>1549998.04</v>
      </c>
      <c r="L411" s="318">
        <v>107</v>
      </c>
      <c r="M411" s="77"/>
      <c r="N411" s="77"/>
    </row>
    <row r="412" spans="1:14" s="76" customFormat="1" ht="15" hidden="1" customHeight="1" x14ac:dyDescent="0.25">
      <c r="A412" s="88">
        <v>5</v>
      </c>
      <c r="B412" s="289" t="s">
        <v>856</v>
      </c>
      <c r="C412" s="90"/>
      <c r="D412" s="90"/>
      <c r="E412" s="90"/>
      <c r="F412" s="90"/>
      <c r="G412" s="90"/>
      <c r="H412" s="75"/>
      <c r="I412" s="196"/>
      <c r="J412" s="196"/>
      <c r="L412" s="318">
        <v>15400001</v>
      </c>
      <c r="M412" s="77"/>
      <c r="N412" s="77"/>
    </row>
    <row r="413" spans="1:14" s="76" customFormat="1" ht="15" customHeight="1" x14ac:dyDescent="0.25">
      <c r="A413" s="88">
        <v>5</v>
      </c>
      <c r="B413" s="289" t="s">
        <v>658</v>
      </c>
      <c r="C413" s="90"/>
      <c r="D413" s="90"/>
      <c r="E413" s="90"/>
      <c r="F413" s="90"/>
      <c r="G413" s="90"/>
      <c r="H413" s="75">
        <v>90126761</v>
      </c>
      <c r="I413" s="196">
        <f>+ROUND((H413/$L$2),2)</f>
        <v>11961876.83</v>
      </c>
      <c r="J413" s="196">
        <v>75688879.75</v>
      </c>
      <c r="L413" s="318">
        <v>155</v>
      </c>
      <c r="M413" s="77"/>
      <c r="N413" s="77"/>
    </row>
    <row r="414" spans="1:14" s="76" customFormat="1" ht="15" customHeight="1" thickBot="1" x14ac:dyDescent="0.3">
      <c r="A414" s="88">
        <v>6</v>
      </c>
      <c r="B414" s="97" t="s">
        <v>659</v>
      </c>
      <c r="C414" s="90"/>
      <c r="D414" s="90"/>
      <c r="E414" s="90"/>
      <c r="F414" s="90"/>
      <c r="G414" s="90"/>
      <c r="H414" s="75">
        <v>214938265</v>
      </c>
      <c r="I414" s="196">
        <f>+ROUND((H414/$L$2),2)</f>
        <v>28527210.170000002</v>
      </c>
      <c r="J414" s="196">
        <v>26770920.690000001</v>
      </c>
      <c r="L414" s="328" t="s">
        <v>855</v>
      </c>
      <c r="M414" s="77"/>
      <c r="N414" s="77"/>
    </row>
    <row r="415" spans="1:14" s="76" customFormat="1" ht="18" customHeight="1" thickTop="1" thickBot="1" x14ac:dyDescent="0.3">
      <c r="A415" s="95"/>
      <c r="B415" s="95" t="s">
        <v>393</v>
      </c>
      <c r="C415" s="95"/>
      <c r="D415" s="95"/>
      <c r="E415" s="95"/>
      <c r="F415" s="95"/>
      <c r="G415" s="96"/>
      <c r="H415" s="96">
        <f>SUM(H408:H414)</f>
        <v>1220453185</v>
      </c>
      <c r="I415" s="454">
        <f>SUM(I408:I414)</f>
        <v>161981974.25</v>
      </c>
      <c r="J415" s="454">
        <f>SUM(J408:J414)</f>
        <v>249856790.21000001</v>
      </c>
      <c r="L415" s="460">
        <f>J415-BILANCA!L67</f>
        <v>0</v>
      </c>
      <c r="M415" s="77"/>
      <c r="N415" s="77"/>
    </row>
    <row r="416" spans="1:14" s="76" customFormat="1" ht="18" customHeight="1" thickTop="1" x14ac:dyDescent="0.25">
      <c r="A416" s="65"/>
      <c r="B416" s="735"/>
      <c r="C416" s="735"/>
      <c r="D416" s="97"/>
      <c r="E416" s="83"/>
      <c r="F416" s="75"/>
      <c r="G416" s="75"/>
      <c r="H416" s="98"/>
      <c r="I416" s="98"/>
      <c r="J416" s="98"/>
      <c r="L416" s="460">
        <f>H415/L2</f>
        <v>161981974.25177515</v>
      </c>
      <c r="M416" s="77"/>
      <c r="N416" s="77"/>
    </row>
    <row r="417" spans="1:22" s="76" customFormat="1" ht="20.25" customHeight="1" x14ac:dyDescent="0.25">
      <c r="A417" s="74" t="s">
        <v>666</v>
      </c>
      <c r="B417" s="731" t="s">
        <v>890</v>
      </c>
      <c r="C417" s="731"/>
      <c r="D417" s="731"/>
      <c r="E417" s="90"/>
      <c r="F417" s="90"/>
      <c r="G417" s="90"/>
      <c r="H417" s="90"/>
      <c r="I417" s="90"/>
      <c r="J417" s="90"/>
      <c r="L417" s="318"/>
      <c r="M417" s="77"/>
      <c r="N417" s="77"/>
    </row>
    <row r="418" spans="1:22" s="76" customFormat="1" ht="0.75" customHeight="1" x14ac:dyDescent="0.25">
      <c r="A418" s="74"/>
      <c r="B418" s="74"/>
      <c r="C418" s="74"/>
      <c r="D418" s="74"/>
      <c r="E418" s="90"/>
      <c r="F418" s="90"/>
      <c r="G418" s="90"/>
      <c r="H418" s="90"/>
      <c r="I418" s="90"/>
      <c r="J418" s="90"/>
      <c r="L418" s="318"/>
      <c r="M418" s="77"/>
      <c r="N418" s="77"/>
    </row>
    <row r="419" spans="1:22" s="76" customFormat="1" ht="18" customHeight="1" x14ac:dyDescent="0.25">
      <c r="A419" s="781" t="s">
        <v>1021</v>
      </c>
      <c r="B419" s="781"/>
      <c r="C419" s="781"/>
      <c r="D419" s="781"/>
      <c r="E419" s="781"/>
      <c r="F419" s="781"/>
      <c r="G419" s="781"/>
      <c r="H419" s="781"/>
      <c r="I419" s="781"/>
      <c r="J419" s="781"/>
      <c r="L419" s="318"/>
      <c r="M419" s="781" t="s">
        <v>661</v>
      </c>
      <c r="N419" s="782"/>
      <c r="O419" s="782"/>
      <c r="P419" s="782"/>
      <c r="Q419" s="782"/>
      <c r="R419" s="782"/>
      <c r="S419" s="782"/>
      <c r="T419" s="782"/>
      <c r="U419" s="782"/>
      <c r="V419" s="782"/>
    </row>
    <row r="420" spans="1:22" ht="18" customHeight="1" x14ac:dyDescent="0.25">
      <c r="A420" s="781"/>
      <c r="B420" s="781"/>
      <c r="C420" s="781"/>
      <c r="D420" s="781"/>
      <c r="E420" s="781"/>
      <c r="F420" s="781"/>
      <c r="G420" s="781"/>
      <c r="H420" s="781"/>
      <c r="I420" s="781"/>
      <c r="J420" s="781"/>
      <c r="M420" s="782"/>
      <c r="N420" s="782"/>
      <c r="O420" s="782"/>
      <c r="P420" s="782"/>
      <c r="Q420" s="782"/>
      <c r="R420" s="782"/>
      <c r="S420" s="782"/>
      <c r="T420" s="782"/>
      <c r="U420" s="782"/>
      <c r="V420" s="782"/>
    </row>
    <row r="421" spans="1:22" ht="12.75" customHeight="1" x14ac:dyDescent="0.25">
      <c r="A421" s="781"/>
      <c r="B421" s="781"/>
      <c r="C421" s="781"/>
      <c r="D421" s="781"/>
      <c r="E421" s="781"/>
      <c r="F421" s="781"/>
      <c r="G421" s="781"/>
      <c r="H421" s="781"/>
      <c r="I421" s="781"/>
      <c r="J421" s="781"/>
      <c r="M421" s="782"/>
      <c r="N421" s="782"/>
      <c r="O421" s="782"/>
      <c r="P421" s="782"/>
      <c r="Q421" s="782"/>
      <c r="R421" s="782"/>
      <c r="S421" s="782"/>
      <c r="T421" s="782"/>
      <c r="U421" s="782"/>
      <c r="V421" s="782"/>
    </row>
    <row r="422" spans="1:22" ht="18" customHeight="1" x14ac:dyDescent="0.25">
      <c r="A422" s="259"/>
      <c r="B422" s="259"/>
      <c r="C422" s="259"/>
      <c r="D422" s="259"/>
      <c r="E422" s="259"/>
      <c r="F422" s="259"/>
      <c r="G422" s="259"/>
      <c r="H422" s="448"/>
      <c r="I422" s="448"/>
      <c r="J422" s="259"/>
    </row>
    <row r="423" spans="1:22" ht="20.25" customHeight="1" x14ac:dyDescent="0.25">
      <c r="A423" s="74" t="s">
        <v>674</v>
      </c>
      <c r="B423" s="731" t="s">
        <v>663</v>
      </c>
      <c r="C423" s="731"/>
      <c r="D423" s="731"/>
      <c r="E423" s="224"/>
      <c r="F423" s="127"/>
      <c r="G423" s="127"/>
    </row>
    <row r="424" spans="1:22" ht="15.75" customHeight="1" thickBot="1" x14ac:dyDescent="0.3">
      <c r="A424" s="74"/>
      <c r="B424" s="74"/>
      <c r="C424" s="74"/>
      <c r="D424" s="74"/>
      <c r="E424" s="224"/>
      <c r="F424" s="127"/>
      <c r="G424" s="127"/>
      <c r="H424" s="22" t="s">
        <v>171</v>
      </c>
      <c r="I424" s="22"/>
      <c r="J424" s="22" t="s">
        <v>1005</v>
      </c>
    </row>
    <row r="425" spans="1:22" ht="31.5" customHeight="1" thickTop="1" thickBot="1" x14ac:dyDescent="0.3">
      <c r="A425" s="79" t="s">
        <v>266</v>
      </c>
      <c r="B425" s="80" t="s">
        <v>265</v>
      </c>
      <c r="C425" s="81"/>
      <c r="D425" s="81"/>
      <c r="E425" s="81"/>
      <c r="F425" s="81"/>
      <c r="G425" s="81"/>
      <c r="H425" s="82" t="str">
        <f>H7</f>
        <v>2022.</v>
      </c>
      <c r="I425" s="82" t="str">
        <f>I7</f>
        <v>2022.</v>
      </c>
      <c r="J425" s="82" t="str">
        <f>J7</f>
        <v>2023.</v>
      </c>
    </row>
    <row r="426" spans="1:22" ht="15" customHeight="1" thickTop="1" x14ac:dyDescent="0.25">
      <c r="A426" s="84">
        <v>1</v>
      </c>
      <c r="B426" s="151" t="s">
        <v>664</v>
      </c>
      <c r="C426" s="86"/>
      <c r="D426" s="86"/>
      <c r="E426" s="86"/>
      <c r="F426" s="86"/>
      <c r="G426" s="86"/>
      <c r="H426" s="87">
        <v>27872765</v>
      </c>
      <c r="I426" s="196">
        <f>+ROUND((H426/$L$2),2)</f>
        <v>3699351.65</v>
      </c>
      <c r="J426" s="451">
        <v>3555392.31</v>
      </c>
      <c r="L426" s="314">
        <v>930</v>
      </c>
    </row>
    <row r="427" spans="1:22" ht="15" customHeight="1" x14ac:dyDescent="0.25">
      <c r="A427" s="88">
        <v>2</v>
      </c>
      <c r="B427" s="153" t="s">
        <v>665</v>
      </c>
      <c r="C427" s="90"/>
      <c r="D427" s="90"/>
      <c r="E427" s="90"/>
      <c r="F427" s="90"/>
      <c r="G427" s="90"/>
      <c r="H427" s="75">
        <v>178843099</v>
      </c>
      <c r="I427" s="196">
        <f>+ROUND((H427/$L$2),2)</f>
        <v>23736558.359999999</v>
      </c>
      <c r="J427" s="196">
        <v>24632263.379999999</v>
      </c>
      <c r="L427" s="314">
        <v>932</v>
      </c>
    </row>
    <row r="428" spans="1:22" ht="15" customHeight="1" thickBot="1" x14ac:dyDescent="0.3">
      <c r="A428" s="91">
        <v>3</v>
      </c>
      <c r="B428" s="159" t="s">
        <v>1139</v>
      </c>
      <c r="C428" s="93"/>
      <c r="D428" s="93"/>
      <c r="E428" s="93"/>
      <c r="F428" s="93"/>
      <c r="G428" s="93"/>
      <c r="H428" s="94">
        <v>21630817</v>
      </c>
      <c r="I428" s="196">
        <f>+ROUND((H428/$L$2),2)+76322154</f>
        <v>79193056.780000001</v>
      </c>
      <c r="J428" s="452">
        <v>2870902.75</v>
      </c>
      <c r="L428" s="314">
        <v>933</v>
      </c>
    </row>
    <row r="429" spans="1:22" ht="18" customHeight="1" thickTop="1" thickBot="1" x14ac:dyDescent="0.3">
      <c r="A429" s="95"/>
      <c r="B429" s="95" t="s">
        <v>270</v>
      </c>
      <c r="C429" s="95"/>
      <c r="D429" s="95"/>
      <c r="E429" s="95"/>
      <c r="F429" s="95"/>
      <c r="G429" s="96"/>
      <c r="H429" s="96">
        <f>SUM(H426:H428)</f>
        <v>228346681</v>
      </c>
      <c r="I429" s="454">
        <f>SUM(I426:I428)</f>
        <v>106628966.78999999</v>
      </c>
      <c r="J429" s="454">
        <f>SUM(J426:J428)</f>
        <v>31058558.439999998</v>
      </c>
      <c r="L429" s="455">
        <f>J429-BILANCA!L97</f>
        <v>0</v>
      </c>
    </row>
    <row r="430" spans="1:22" ht="30" customHeight="1" thickTop="1" x14ac:dyDescent="0.25">
      <c r="A430" s="65"/>
      <c r="B430" s="113"/>
      <c r="C430" s="97"/>
      <c r="D430" s="97"/>
      <c r="E430" s="90"/>
      <c r="F430" s="75"/>
      <c r="G430" s="75"/>
      <c r="H430" s="90"/>
      <c r="I430" s="90"/>
      <c r="J430" s="90"/>
      <c r="L430" s="455">
        <f>H429/L2+76322154</f>
        <v>106628966.79447873</v>
      </c>
    </row>
    <row r="431" spans="1:22" ht="21" customHeight="1" x14ac:dyDescent="0.25">
      <c r="A431" s="600" t="s">
        <v>687</v>
      </c>
      <c r="B431" s="731" t="s">
        <v>1111</v>
      </c>
      <c r="C431" s="731"/>
      <c r="D431" s="731"/>
      <c r="E431" s="102"/>
      <c r="F431" s="102"/>
      <c r="G431" s="102"/>
      <c r="L431" s="605"/>
    </row>
    <row r="432" spans="1:22" ht="15.75" customHeight="1" thickBot="1" x14ac:dyDescent="0.3">
      <c r="A432" s="600"/>
      <c r="B432" s="600"/>
      <c r="C432" s="600"/>
      <c r="D432" s="600"/>
      <c r="E432" s="102"/>
      <c r="F432" s="102"/>
      <c r="G432" s="102"/>
      <c r="H432" s="22" t="s">
        <v>171</v>
      </c>
      <c r="I432" s="22"/>
      <c r="J432" s="22" t="s">
        <v>1005</v>
      </c>
      <c r="L432" s="605"/>
    </row>
    <row r="433" spans="1:14" ht="31.5" thickTop="1" thickBot="1" x14ac:dyDescent="0.3">
      <c r="A433" s="79" t="s">
        <v>266</v>
      </c>
      <c r="B433" s="613" t="s">
        <v>265</v>
      </c>
      <c r="C433" s="614"/>
      <c r="D433" s="614"/>
      <c r="E433" s="81"/>
      <c r="F433" s="81"/>
      <c r="G433" s="81"/>
      <c r="H433" s="82" t="s">
        <v>911</v>
      </c>
      <c r="I433" s="82" t="s">
        <v>911</v>
      </c>
      <c r="J433" s="82" t="s">
        <v>1011</v>
      </c>
      <c r="L433" s="605"/>
    </row>
    <row r="434" spans="1:14" ht="14.25" customHeight="1" thickTop="1" x14ac:dyDescent="0.25">
      <c r="A434" s="84">
        <v>1</v>
      </c>
      <c r="B434" s="758" t="s">
        <v>1122</v>
      </c>
      <c r="C434" s="759"/>
      <c r="D434" s="759"/>
      <c r="E434" s="759"/>
      <c r="F434" s="759"/>
      <c r="G434" s="86"/>
      <c r="H434" s="87">
        <v>21630817</v>
      </c>
      <c r="I434" s="196">
        <f>+ROUND((H434/$L$2),2)</f>
        <v>2870902.78</v>
      </c>
      <c r="J434" s="451">
        <v>2870902.75</v>
      </c>
      <c r="L434" s="605">
        <v>9339000</v>
      </c>
    </row>
    <row r="435" spans="1:14" ht="14.25" customHeight="1" thickBot="1" x14ac:dyDescent="0.3">
      <c r="A435" s="88">
        <v>2</v>
      </c>
      <c r="B435" s="604" t="s">
        <v>1126</v>
      </c>
      <c r="C435" s="604"/>
      <c r="D435" s="604"/>
      <c r="E435" s="90"/>
      <c r="F435" s="90"/>
      <c r="G435" s="90"/>
      <c r="H435" s="75"/>
      <c r="I435" s="196">
        <v>76322154</v>
      </c>
      <c r="J435" s="196"/>
      <c r="L435" s="741" t="s">
        <v>1127</v>
      </c>
      <c r="M435" s="734"/>
    </row>
    <row r="436" spans="1:14" ht="18" customHeight="1" thickTop="1" thickBot="1" x14ac:dyDescent="0.3">
      <c r="A436" s="95"/>
      <c r="B436" s="95" t="s">
        <v>272</v>
      </c>
      <c r="C436" s="95"/>
      <c r="D436" s="95"/>
      <c r="E436" s="95"/>
      <c r="F436" s="95"/>
      <c r="G436" s="96"/>
      <c r="H436" s="96">
        <f>SUM(H434:H435)</f>
        <v>21630817</v>
      </c>
      <c r="I436" s="454">
        <f>SUM(I434:I435)</f>
        <v>79193056.780000001</v>
      </c>
      <c r="J436" s="454">
        <f>SUM(J434:J435)</f>
        <v>2870902.75</v>
      </c>
      <c r="L436" s="455">
        <f>J436-BILANCA!L103</f>
        <v>0</v>
      </c>
    </row>
    <row r="437" spans="1:14" ht="15.75" customHeight="1" thickTop="1" x14ac:dyDescent="0.25">
      <c r="A437" s="65"/>
      <c r="B437" s="601"/>
      <c r="C437" s="603"/>
      <c r="D437" s="603"/>
      <c r="E437" s="90"/>
      <c r="F437" s="75"/>
      <c r="G437" s="75"/>
      <c r="H437" s="90"/>
      <c r="I437" s="90"/>
      <c r="J437" s="90"/>
      <c r="L437" s="455"/>
    </row>
    <row r="438" spans="1:14" ht="15.75" customHeight="1" x14ac:dyDescent="0.25">
      <c r="A438" s="65"/>
      <c r="B438" s="601"/>
      <c r="C438" s="603"/>
      <c r="D438" s="603"/>
      <c r="E438" s="90"/>
      <c r="F438" s="75"/>
      <c r="G438" s="75"/>
      <c r="H438" s="90"/>
      <c r="I438" s="90"/>
      <c r="J438" s="90"/>
      <c r="L438" s="455"/>
    </row>
    <row r="439" spans="1:14" ht="18" customHeight="1" x14ac:dyDescent="0.25">
      <c r="A439" s="70" t="s">
        <v>698</v>
      </c>
      <c r="B439" s="787" t="s">
        <v>1075</v>
      </c>
      <c r="C439" s="723"/>
      <c r="D439" s="723"/>
      <c r="E439" s="723"/>
      <c r="F439" s="723"/>
      <c r="G439" s="723"/>
      <c r="H439" s="723"/>
      <c r="I439" s="90"/>
      <c r="J439" s="90"/>
      <c r="L439" s="455"/>
    </row>
    <row r="440" spans="1:14" ht="18" customHeight="1" thickBot="1" x14ac:dyDescent="0.3">
      <c r="A440" s="568"/>
      <c r="B440" s="568"/>
      <c r="C440" s="568"/>
      <c r="D440" s="568"/>
      <c r="E440" s="224"/>
      <c r="F440" s="127"/>
      <c r="G440" s="127"/>
      <c r="H440" s="22" t="s">
        <v>171</v>
      </c>
      <c r="I440" s="22"/>
      <c r="J440" s="22" t="s">
        <v>1005</v>
      </c>
      <c r="L440" s="455"/>
    </row>
    <row r="441" spans="1:14" ht="28.5" customHeight="1" thickTop="1" thickBot="1" x14ac:dyDescent="0.3">
      <c r="A441" s="79" t="s">
        <v>266</v>
      </c>
      <c r="B441" s="80" t="s">
        <v>265</v>
      </c>
      <c r="C441" s="81"/>
      <c r="D441" s="81"/>
      <c r="E441" s="81"/>
      <c r="F441" s="81"/>
      <c r="G441" s="81"/>
      <c r="H441" s="82" t="str">
        <f>H7</f>
        <v>2022.</v>
      </c>
      <c r="I441" s="82" t="str">
        <f>I7</f>
        <v>2022.</v>
      </c>
      <c r="J441" s="82" t="str">
        <f>J7</f>
        <v>2023.</v>
      </c>
      <c r="L441" s="455"/>
    </row>
    <row r="442" spans="1:14" ht="18" customHeight="1" thickTop="1" thickBot="1" x14ac:dyDescent="0.3">
      <c r="A442" s="84">
        <v>1</v>
      </c>
      <c r="B442" s="766" t="s">
        <v>1084</v>
      </c>
      <c r="C442" s="766"/>
      <c r="D442" s="766"/>
      <c r="E442" s="86"/>
      <c r="F442" s="86"/>
      <c r="G442" s="86"/>
      <c r="H442" s="87"/>
      <c r="I442" s="196"/>
      <c r="J442" s="591">
        <v>400000000</v>
      </c>
      <c r="L442" s="566">
        <v>94500000</v>
      </c>
    </row>
    <row r="443" spans="1:14" ht="18" customHeight="1" thickTop="1" thickBot="1" x14ac:dyDescent="0.3">
      <c r="A443" s="95"/>
      <c r="B443" s="95" t="s">
        <v>854</v>
      </c>
      <c r="C443" s="95"/>
      <c r="D443" s="95"/>
      <c r="E443" s="95"/>
      <c r="F443" s="95"/>
      <c r="G443" s="96"/>
      <c r="H443" s="96">
        <f>SUM(H442:H442)</f>
        <v>0</v>
      </c>
      <c r="I443" s="454">
        <f>SUM(I442:I442)</f>
        <v>0</v>
      </c>
      <c r="J443" s="454">
        <f>SUM(J442:J442)</f>
        <v>400000000</v>
      </c>
      <c r="L443" s="455">
        <f>J443-BILANCA!L109</f>
        <v>0</v>
      </c>
    </row>
    <row r="444" spans="1:14" ht="31.5" customHeight="1" thickTop="1" x14ac:dyDescent="0.25">
      <c r="A444" s="65"/>
      <c r="B444" s="544"/>
      <c r="C444" s="545"/>
      <c r="D444" s="545"/>
      <c r="E444" s="90"/>
      <c r="F444" s="75"/>
      <c r="G444" s="75"/>
      <c r="H444" s="90"/>
      <c r="I444" s="90"/>
      <c r="J444" s="90"/>
      <c r="L444" s="455"/>
    </row>
    <row r="445" spans="1:14" ht="18" customHeight="1" x14ac:dyDescent="0.25">
      <c r="A445" s="70" t="s">
        <v>709</v>
      </c>
      <c r="B445" s="731" t="s">
        <v>710</v>
      </c>
      <c r="C445" s="731"/>
      <c r="D445" s="731"/>
      <c r="E445" s="731"/>
      <c r="F445" s="731"/>
      <c r="G445" s="731"/>
      <c r="H445" s="731"/>
      <c r="I445" s="90"/>
      <c r="J445" s="90"/>
    </row>
    <row r="446" spans="1:14" ht="15.75" customHeight="1" thickBot="1" x14ac:dyDescent="0.3">
      <c r="A446" s="212"/>
      <c r="B446" s="213"/>
      <c r="C446" s="214"/>
      <c r="D446" s="214"/>
      <c r="E446" s="90"/>
      <c r="F446" s="90"/>
      <c r="G446" s="90"/>
      <c r="H446" s="22" t="s">
        <v>171</v>
      </c>
      <c r="I446" s="22"/>
      <c r="J446" s="22" t="s">
        <v>1005</v>
      </c>
      <c r="K446" s="115"/>
      <c r="M446" s="119"/>
      <c r="N446" s="119"/>
    </row>
    <row r="447" spans="1:14" ht="31.5" customHeight="1" thickTop="1" thickBot="1" x14ac:dyDescent="0.3">
      <c r="A447" s="79" t="s">
        <v>266</v>
      </c>
      <c r="B447" s="80" t="s">
        <v>265</v>
      </c>
      <c r="C447" s="81"/>
      <c r="D447" s="81"/>
      <c r="E447" s="81"/>
      <c r="F447" s="81"/>
      <c r="G447" s="81"/>
      <c r="H447" s="82" t="str">
        <f>H7</f>
        <v>2022.</v>
      </c>
      <c r="I447" s="82" t="str">
        <f>I7</f>
        <v>2022.</v>
      </c>
      <c r="J447" s="82" t="str">
        <f>J7</f>
        <v>2023.</v>
      </c>
      <c r="K447" s="115"/>
      <c r="M447" s="119"/>
      <c r="N447" s="119"/>
    </row>
    <row r="448" spans="1:14" ht="15" hidden="1" customHeight="1" thickTop="1" x14ac:dyDescent="0.25">
      <c r="A448" s="84">
        <v>1</v>
      </c>
      <c r="B448" s="256" t="s">
        <v>667</v>
      </c>
      <c r="C448" s="86"/>
      <c r="D448" s="86"/>
      <c r="E448" s="86"/>
      <c r="F448" s="86"/>
      <c r="G448" s="86"/>
      <c r="H448" s="87">
        <v>0</v>
      </c>
      <c r="I448" s="87">
        <v>0</v>
      </c>
      <c r="J448" s="87">
        <v>0</v>
      </c>
      <c r="K448" s="115"/>
      <c r="M448" s="119"/>
      <c r="N448" s="119"/>
    </row>
    <row r="449" spans="1:14" ht="15" customHeight="1" thickTop="1" x14ac:dyDescent="0.25">
      <c r="A449" s="88">
        <v>1</v>
      </c>
      <c r="B449" s="288" t="s">
        <v>667</v>
      </c>
      <c r="C449" s="90"/>
      <c r="D449" s="90"/>
      <c r="E449" s="90"/>
      <c r="F449" s="90"/>
      <c r="G449" s="90"/>
      <c r="H449" s="75">
        <v>10225773000</v>
      </c>
      <c r="I449" s="196">
        <f>+ROUND((H449/$L$2),2)</f>
        <v>1357193310.77</v>
      </c>
      <c r="J449" s="196">
        <v>1660806025.6199999</v>
      </c>
      <c r="K449" s="115"/>
      <c r="L449" s="314" t="s">
        <v>857</v>
      </c>
      <c r="M449" s="119"/>
      <c r="N449" s="119"/>
    </row>
    <row r="450" spans="1:14" ht="15" customHeight="1" thickBot="1" x14ac:dyDescent="0.3">
      <c r="A450" s="260">
        <v>2</v>
      </c>
      <c r="B450" s="261" t="s">
        <v>668</v>
      </c>
      <c r="C450" s="244"/>
      <c r="D450" s="244"/>
      <c r="E450" s="244"/>
      <c r="F450" s="244"/>
      <c r="G450" s="244"/>
      <c r="H450" s="245">
        <v>1076350346</v>
      </c>
      <c r="I450" s="196">
        <f>+ROUND((H450/$L$2),2)</f>
        <v>142856240.75999999</v>
      </c>
      <c r="J450" s="483">
        <v>156380490.37</v>
      </c>
      <c r="K450" s="115"/>
      <c r="L450" s="314" t="s">
        <v>669</v>
      </c>
      <c r="M450" s="119"/>
      <c r="N450" s="119"/>
    </row>
    <row r="451" spans="1:14" ht="14.25" customHeight="1" thickBot="1" x14ac:dyDescent="0.3">
      <c r="A451" s="225"/>
      <c r="B451" s="226" t="s">
        <v>670</v>
      </c>
      <c r="C451" s="226"/>
      <c r="D451" s="226"/>
      <c r="E451" s="226"/>
      <c r="F451" s="226"/>
      <c r="G451" s="226"/>
      <c r="H451" s="227">
        <f>SUM(H448:H450)</f>
        <v>11302123346</v>
      </c>
      <c r="I451" s="479">
        <f>SUM(I448:I450)</f>
        <v>1500049551.53</v>
      </c>
      <c r="J451" s="479">
        <f>SUM(J448:J450)</f>
        <v>1817186515.9899998</v>
      </c>
      <c r="K451" s="115"/>
      <c r="M451" s="119"/>
      <c r="N451" s="119"/>
    </row>
    <row r="452" spans="1:14" ht="15" customHeight="1" thickBot="1" x14ac:dyDescent="0.3">
      <c r="A452" s="88">
        <v>3</v>
      </c>
      <c r="B452" s="97" t="s">
        <v>671</v>
      </c>
      <c r="C452" s="90"/>
      <c r="D452" s="90"/>
      <c r="E452" s="90"/>
      <c r="F452" s="90"/>
      <c r="G452" s="90"/>
      <c r="H452" s="75">
        <v>-2342298</v>
      </c>
      <c r="I452" s="196">
        <f>+ROUND((H452/$L$2),2)</f>
        <v>-310876.37</v>
      </c>
      <c r="J452" s="196">
        <v>-271607.7</v>
      </c>
      <c r="K452" s="115"/>
      <c r="L452" s="314">
        <v>19103000</v>
      </c>
      <c r="M452" s="119"/>
      <c r="N452" s="119"/>
    </row>
    <row r="453" spans="1:14" ht="18" customHeight="1" thickBot="1" x14ac:dyDescent="0.3">
      <c r="A453" s="225"/>
      <c r="B453" s="226" t="s">
        <v>673</v>
      </c>
      <c r="C453" s="226"/>
      <c r="D453" s="226"/>
      <c r="E453" s="226"/>
      <c r="F453" s="226"/>
      <c r="G453" s="226"/>
      <c r="H453" s="227">
        <f>SUM(H451:H452)</f>
        <v>11299781048</v>
      </c>
      <c r="I453" s="479">
        <f>SUM(I451:I452)</f>
        <v>1499738675.1600001</v>
      </c>
      <c r="J453" s="479">
        <f>SUM(J451:J452)</f>
        <v>1816914908.2899997</v>
      </c>
      <c r="K453" s="115"/>
      <c r="M453" s="119"/>
      <c r="N453" s="119"/>
    </row>
    <row r="454" spans="1:14" ht="15" customHeight="1" thickBot="1" x14ac:dyDescent="0.3">
      <c r="A454" s="88">
        <v>4</v>
      </c>
      <c r="B454" s="97" t="s">
        <v>672</v>
      </c>
      <c r="C454" s="90"/>
      <c r="D454" s="90"/>
      <c r="E454" s="90"/>
      <c r="F454" s="90"/>
      <c r="G454" s="90"/>
      <c r="H454" s="75">
        <v>-139500683</v>
      </c>
      <c r="I454" s="196">
        <f>+ROUND((H454/$L$2),2)</f>
        <v>-18514922.420000002</v>
      </c>
      <c r="J454" s="196">
        <v>-917590472.05999994</v>
      </c>
      <c r="K454" s="115"/>
      <c r="L454" s="314">
        <v>25700900</v>
      </c>
      <c r="M454" s="119"/>
      <c r="N454" s="119"/>
    </row>
    <row r="455" spans="1:14" ht="18" customHeight="1" thickTop="1" thickBot="1" x14ac:dyDescent="0.3">
      <c r="A455" s="210"/>
      <c r="B455" s="95" t="s">
        <v>884</v>
      </c>
      <c r="C455" s="95"/>
      <c r="D455" s="95"/>
      <c r="E455" s="95"/>
      <c r="F455" s="95"/>
      <c r="G455" s="95"/>
      <c r="H455" s="96">
        <f>SUM(H453:H454)</f>
        <v>11160280365</v>
      </c>
      <c r="I455" s="454">
        <f>SUM(I453:I454)</f>
        <v>1481223752.74</v>
      </c>
      <c r="J455" s="454">
        <f>SUM(J453:J454)</f>
        <v>899324436.22999978</v>
      </c>
      <c r="K455" s="115"/>
      <c r="L455" s="455">
        <f>J455-BILANCA!L110</f>
        <v>0</v>
      </c>
      <c r="M455" s="119"/>
      <c r="N455" s="119"/>
    </row>
    <row r="456" spans="1:14" ht="18.75" customHeight="1" thickTop="1" x14ac:dyDescent="0.25">
      <c r="A456" s="65"/>
      <c r="B456" s="76"/>
      <c r="C456" s="97"/>
      <c r="D456" s="97"/>
      <c r="E456" s="102"/>
      <c r="F456" s="102"/>
      <c r="G456" s="102"/>
      <c r="H456" s="141"/>
      <c r="I456" s="141"/>
      <c r="J456" s="141"/>
      <c r="K456" s="115"/>
      <c r="L456" s="455">
        <f>H455/L2</f>
        <v>1481223752.7374079</v>
      </c>
      <c r="M456" s="119"/>
      <c r="N456" s="119"/>
    </row>
    <row r="457" spans="1:14" ht="21" hidden="1" customHeight="1" x14ac:dyDescent="0.25">
      <c r="A457" s="365" t="s">
        <v>687</v>
      </c>
      <c r="B457" s="765" t="s">
        <v>858</v>
      </c>
      <c r="C457" s="765"/>
      <c r="D457" s="765"/>
      <c r="E457" s="90"/>
      <c r="F457" s="90"/>
      <c r="G457" s="90"/>
      <c r="H457" s="90"/>
      <c r="I457" s="90"/>
      <c r="J457" s="90"/>
      <c r="K457" s="115"/>
      <c r="M457" s="119"/>
      <c r="N457" s="119"/>
    </row>
    <row r="458" spans="1:14" ht="15.75" hidden="1" customHeight="1" thickBot="1" x14ac:dyDescent="0.3">
      <c r="A458" s="212"/>
      <c r="B458" s="213"/>
      <c r="C458" s="214"/>
      <c r="D458" s="214"/>
      <c r="E458" s="90"/>
      <c r="F458" s="90"/>
      <c r="G458" s="90"/>
      <c r="H458" s="209" t="s">
        <v>434</v>
      </c>
      <c r="I458" s="209" t="s">
        <v>434</v>
      </c>
      <c r="J458" s="209" t="s">
        <v>434</v>
      </c>
      <c r="K458" s="115"/>
      <c r="M458" s="119"/>
      <c r="N458" s="119"/>
    </row>
    <row r="459" spans="1:14" ht="31.5" hidden="1" customHeight="1" thickTop="1" thickBot="1" x14ac:dyDescent="0.3">
      <c r="A459" s="79" t="s">
        <v>266</v>
      </c>
      <c r="B459" s="80" t="s">
        <v>265</v>
      </c>
      <c r="C459" s="81"/>
      <c r="D459" s="81"/>
      <c r="E459" s="81"/>
      <c r="F459" s="81"/>
      <c r="G459" s="81"/>
      <c r="H459" s="82" t="str">
        <f>H7</f>
        <v>2022.</v>
      </c>
      <c r="I459" s="82" t="str">
        <f>I7</f>
        <v>2022.</v>
      </c>
      <c r="J459" s="82" t="str">
        <f>J7</f>
        <v>2023.</v>
      </c>
      <c r="K459" s="115"/>
      <c r="L459" s="321"/>
      <c r="M459" s="119"/>
      <c r="N459" s="119"/>
    </row>
    <row r="460" spans="1:14" ht="16.5" hidden="1" customHeight="1" thickTop="1" x14ac:dyDescent="0.25">
      <c r="A460" s="84">
        <v>1</v>
      </c>
      <c r="B460" s="262" t="s">
        <v>675</v>
      </c>
      <c r="C460" s="86"/>
      <c r="D460" s="86"/>
      <c r="E460" s="86"/>
      <c r="F460" s="86"/>
      <c r="G460" s="86"/>
      <c r="H460" s="87"/>
      <c r="I460" s="87"/>
      <c r="J460" s="87"/>
      <c r="K460" s="115"/>
      <c r="L460" s="321" t="s">
        <v>676</v>
      </c>
      <c r="M460" s="119"/>
      <c r="N460" s="119"/>
    </row>
    <row r="461" spans="1:14" ht="15" hidden="1" customHeight="1" x14ac:dyDescent="0.25">
      <c r="A461" s="88">
        <v>2</v>
      </c>
      <c r="B461" s="263" t="s">
        <v>677</v>
      </c>
      <c r="C461" s="90"/>
      <c r="D461" s="90"/>
      <c r="E461" s="90"/>
      <c r="F461" s="90"/>
      <c r="G461" s="90"/>
      <c r="H461" s="75"/>
      <c r="I461" s="75"/>
      <c r="J461" s="75"/>
      <c r="K461" s="115"/>
      <c r="L461" s="321" t="s">
        <v>678</v>
      </c>
      <c r="M461" s="119"/>
      <c r="N461" s="119"/>
    </row>
    <row r="462" spans="1:14" ht="15" hidden="1" customHeight="1" x14ac:dyDescent="0.25">
      <c r="A462" s="88">
        <v>3</v>
      </c>
      <c r="B462" s="264" t="s">
        <v>679</v>
      </c>
      <c r="C462" s="90"/>
      <c r="D462" s="90"/>
      <c r="E462" s="90"/>
      <c r="F462" s="90"/>
      <c r="G462" s="90"/>
      <c r="H462" s="98"/>
      <c r="I462" s="98"/>
      <c r="J462" s="98"/>
      <c r="K462" s="115"/>
      <c r="L462" s="321" t="s">
        <v>680</v>
      </c>
      <c r="M462" s="119"/>
      <c r="N462" s="119"/>
    </row>
    <row r="463" spans="1:14" ht="15" hidden="1" customHeight="1" thickBot="1" x14ac:dyDescent="0.3">
      <c r="A463" s="260">
        <v>4</v>
      </c>
      <c r="B463" s="265" t="s">
        <v>681</v>
      </c>
      <c r="C463" s="244"/>
      <c r="D463" s="244"/>
      <c r="E463" s="244"/>
      <c r="F463" s="244"/>
      <c r="G463" s="244"/>
      <c r="H463" s="266"/>
      <c r="I463" s="266"/>
      <c r="J463" s="266"/>
      <c r="K463" s="115"/>
      <c r="L463" s="321" t="s">
        <v>682</v>
      </c>
      <c r="M463" s="119"/>
      <c r="N463" s="119"/>
    </row>
    <row r="464" spans="1:14" ht="18" hidden="1" customHeight="1" thickBot="1" x14ac:dyDescent="0.3">
      <c r="A464" s="225"/>
      <c r="B464" s="226" t="s">
        <v>683</v>
      </c>
      <c r="C464" s="226"/>
      <c r="D464" s="226"/>
      <c r="E464" s="226"/>
      <c r="F464" s="226"/>
      <c r="G464" s="226"/>
      <c r="H464" s="267">
        <f>SUM(H460:H463)</f>
        <v>0</v>
      </c>
      <c r="I464" s="267">
        <f>SUM(I460:I463)</f>
        <v>0</v>
      </c>
      <c r="J464" s="267">
        <f>SUM(J460:J463)</f>
        <v>0</v>
      </c>
      <c r="K464" s="115"/>
      <c r="L464" s="321"/>
      <c r="M464" s="119"/>
      <c r="N464" s="119"/>
    </row>
    <row r="465" spans="1:14" ht="15" hidden="1" customHeight="1" thickBot="1" x14ac:dyDescent="0.3">
      <c r="A465" s="88">
        <v>5</v>
      </c>
      <c r="B465" s="97" t="s">
        <v>684</v>
      </c>
      <c r="C465" s="90"/>
      <c r="D465" s="90"/>
      <c r="E465" s="90"/>
      <c r="F465" s="90"/>
      <c r="G465" s="90"/>
      <c r="H465" s="98"/>
      <c r="I465" s="98"/>
      <c r="J465" s="98"/>
      <c r="K465" s="115"/>
      <c r="L465" s="321" t="s">
        <v>685</v>
      </c>
      <c r="M465" s="119"/>
      <c r="N465" s="119"/>
    </row>
    <row r="466" spans="1:14" ht="18" hidden="1" customHeight="1" thickTop="1" thickBot="1" x14ac:dyDescent="0.3">
      <c r="A466" s="210"/>
      <c r="B466" s="95" t="s">
        <v>686</v>
      </c>
      <c r="C466" s="95"/>
      <c r="D466" s="95"/>
      <c r="E466" s="95"/>
      <c r="F466" s="95"/>
      <c r="G466" s="95"/>
      <c r="H466" s="253">
        <f>SUM(H464:H465)</f>
        <v>0</v>
      </c>
      <c r="I466" s="253">
        <f>SUM(I464:I465)</f>
        <v>0</v>
      </c>
      <c r="J466" s="253">
        <f>SUM(J464:J465)</f>
        <v>0</v>
      </c>
      <c r="K466" s="115"/>
      <c r="L466" s="319">
        <f>J466-0</f>
        <v>0</v>
      </c>
      <c r="M466" s="119"/>
      <c r="N466" s="119"/>
    </row>
    <row r="467" spans="1:14" ht="21" customHeight="1" x14ac:dyDescent="0.25">
      <c r="A467" s="74" t="s">
        <v>711</v>
      </c>
      <c r="B467" s="731" t="s">
        <v>688</v>
      </c>
      <c r="C467" s="731"/>
      <c r="D467" s="731"/>
      <c r="E467" s="224"/>
      <c r="F467" s="127"/>
      <c r="G467" s="127"/>
      <c r="K467" s="115"/>
      <c r="M467" s="119"/>
      <c r="N467" s="119"/>
    </row>
    <row r="468" spans="1:14" ht="15.75" customHeight="1" thickBot="1" x14ac:dyDescent="0.3">
      <c r="A468" s="74"/>
      <c r="B468" s="74"/>
      <c r="C468" s="74"/>
      <c r="D468" s="74"/>
      <c r="E468" s="224"/>
      <c r="F468" s="127"/>
      <c r="G468" s="127"/>
      <c r="H468" s="22" t="s">
        <v>171</v>
      </c>
      <c r="I468" s="22"/>
      <c r="J468" s="22" t="s">
        <v>1005</v>
      </c>
      <c r="K468" s="115"/>
      <c r="M468" s="119"/>
      <c r="N468" s="119"/>
    </row>
    <row r="469" spans="1:14" ht="31.5" customHeight="1" thickTop="1" thickBot="1" x14ac:dyDescent="0.3">
      <c r="A469" s="79" t="s">
        <v>266</v>
      </c>
      <c r="B469" s="80" t="s">
        <v>265</v>
      </c>
      <c r="C469" s="81"/>
      <c r="D469" s="81"/>
      <c r="E469" s="81"/>
      <c r="F469" s="81"/>
      <c r="G469" s="81"/>
      <c r="H469" s="82" t="str">
        <f>H7</f>
        <v>2022.</v>
      </c>
      <c r="I469" s="82" t="str">
        <f>I7</f>
        <v>2022.</v>
      </c>
      <c r="J469" s="82" t="str">
        <f>J7</f>
        <v>2023.</v>
      </c>
      <c r="K469" s="115"/>
      <c r="L469" s="321"/>
      <c r="M469" s="119"/>
      <c r="N469" s="119"/>
    </row>
    <row r="470" spans="1:14" ht="15" customHeight="1" thickTop="1" x14ac:dyDescent="0.25">
      <c r="A470" s="84">
        <v>1</v>
      </c>
      <c r="B470" s="151" t="s">
        <v>689</v>
      </c>
      <c r="C470" s="86"/>
      <c r="D470" s="86"/>
      <c r="E470" s="86"/>
      <c r="F470" s="86"/>
      <c r="G470" s="86"/>
      <c r="H470" s="87">
        <v>571288</v>
      </c>
      <c r="I470" s="196">
        <f>+ROUND((H470/$L$2),2)</f>
        <v>75822.95</v>
      </c>
      <c r="J470" s="451">
        <v>73453.460000000006</v>
      </c>
      <c r="K470" s="115"/>
      <c r="L470" s="321" t="s">
        <v>306</v>
      </c>
      <c r="M470" s="119"/>
      <c r="N470" s="119"/>
    </row>
    <row r="471" spans="1:14" ht="15" hidden="1" customHeight="1" x14ac:dyDescent="0.25">
      <c r="A471" s="88">
        <v>2</v>
      </c>
      <c r="B471" s="153" t="s">
        <v>690</v>
      </c>
      <c r="C471" s="90"/>
      <c r="D471" s="90"/>
      <c r="E471" s="90"/>
      <c r="F471" s="90"/>
      <c r="G471" s="90"/>
      <c r="H471" s="75"/>
      <c r="I471" s="196">
        <f>+ROUND((H471/$L$2),2)</f>
        <v>0</v>
      </c>
      <c r="J471" s="196"/>
      <c r="K471" s="115"/>
      <c r="L471" s="321" t="s">
        <v>691</v>
      </c>
      <c r="M471" s="119"/>
      <c r="N471" s="119"/>
    </row>
    <row r="472" spans="1:14" ht="15" customHeight="1" x14ac:dyDescent="0.25">
      <c r="A472" s="88">
        <v>2</v>
      </c>
      <c r="B472" s="153" t="s">
        <v>692</v>
      </c>
      <c r="C472" s="90"/>
      <c r="D472" s="90"/>
      <c r="E472" s="90"/>
      <c r="F472" s="90"/>
      <c r="G472" s="90"/>
      <c r="H472" s="75">
        <v>850863016</v>
      </c>
      <c r="I472" s="196">
        <f>+ROUND((H472/$L$2),2)</f>
        <v>112928929.06</v>
      </c>
      <c r="J472" s="196">
        <v>109004524.89</v>
      </c>
      <c r="K472" s="115"/>
      <c r="L472" s="321" t="s">
        <v>307</v>
      </c>
      <c r="M472" s="119"/>
      <c r="N472" s="119"/>
    </row>
    <row r="473" spans="1:14" ht="15" customHeight="1" x14ac:dyDescent="0.25">
      <c r="A473" s="88">
        <v>3</v>
      </c>
      <c r="B473" s="153" t="s">
        <v>693</v>
      </c>
      <c r="C473" s="90"/>
      <c r="D473" s="90"/>
      <c r="E473" s="90"/>
      <c r="F473" s="90"/>
      <c r="G473" s="90"/>
      <c r="H473" s="75">
        <f>2416124+449638</f>
        <v>2865762</v>
      </c>
      <c r="I473" s="196">
        <f>+ROUND((H473/$L$2),2)</f>
        <v>380351.98</v>
      </c>
      <c r="J473" s="196">
        <f>310937.47+8235.73</f>
        <v>319173.19999999995</v>
      </c>
      <c r="K473" s="115"/>
      <c r="L473" s="769" t="s">
        <v>694</v>
      </c>
      <c r="M473" s="734"/>
      <c r="N473" s="119"/>
    </row>
    <row r="474" spans="1:14" ht="15" customHeight="1" thickBot="1" x14ac:dyDescent="0.3">
      <c r="A474" s="88">
        <v>4</v>
      </c>
      <c r="B474" s="153" t="s">
        <v>695</v>
      </c>
      <c r="C474" s="90"/>
      <c r="D474" s="90"/>
      <c r="E474" s="90"/>
      <c r="F474" s="90"/>
      <c r="G474" s="90"/>
      <c r="H474" s="75">
        <f>-73366-362693</f>
        <v>-436059</v>
      </c>
      <c r="I474" s="196">
        <f>+ROUND((H474/$L$2),2)</f>
        <v>-57874.98</v>
      </c>
      <c r="J474" s="196">
        <f>-18421.41</f>
        <v>-18421.41</v>
      </c>
      <c r="K474" s="115"/>
      <c r="L474" s="769" t="s">
        <v>696</v>
      </c>
      <c r="M474" s="734"/>
      <c r="N474" s="119"/>
    </row>
    <row r="475" spans="1:14" ht="18" customHeight="1" thickTop="1" thickBot="1" x14ac:dyDescent="0.3">
      <c r="A475" s="95"/>
      <c r="B475" s="110" t="s">
        <v>305</v>
      </c>
      <c r="C475" s="95"/>
      <c r="D475" s="95"/>
      <c r="E475" s="95"/>
      <c r="F475" s="95"/>
      <c r="G475" s="96"/>
      <c r="H475" s="96">
        <f>SUM(H470:H474)</f>
        <v>853864007</v>
      </c>
      <c r="I475" s="454">
        <f>SUM(I470:I474)</f>
        <v>113327229.01000001</v>
      </c>
      <c r="J475" s="454">
        <f>SUM(J470:J474)</f>
        <v>109378730.14</v>
      </c>
      <c r="K475" s="115"/>
      <c r="L475" s="455">
        <f>J475-BILANCA!L114</f>
        <v>0</v>
      </c>
      <c r="M475" s="119"/>
      <c r="N475" s="119"/>
    </row>
    <row r="476" spans="1:14" ht="18" customHeight="1" thickTop="1" x14ac:dyDescent="0.25">
      <c r="A476" s="65"/>
      <c r="B476" s="111"/>
      <c r="C476" s="76"/>
      <c r="D476" s="76"/>
      <c r="E476" s="102"/>
      <c r="F476" s="102"/>
      <c r="G476" s="102"/>
      <c r="H476" s="141"/>
      <c r="I476" s="141"/>
      <c r="J476" s="141"/>
      <c r="L476" s="455">
        <f>H475/L2</f>
        <v>113327229.01320592</v>
      </c>
    </row>
    <row r="477" spans="1:14" s="76" customFormat="1" ht="20.25" customHeight="1" x14ac:dyDescent="0.25">
      <c r="A477" s="74" t="s">
        <v>716</v>
      </c>
      <c r="B477" s="74" t="s">
        <v>889</v>
      </c>
      <c r="E477" s="102"/>
      <c r="F477" s="102"/>
      <c r="G477" s="102"/>
      <c r="L477" s="318"/>
      <c r="M477" s="101"/>
      <c r="N477" s="102"/>
    </row>
    <row r="478" spans="1:14" s="76" customFormat="1" ht="15.75" customHeight="1" thickBot="1" x14ac:dyDescent="0.3">
      <c r="A478" s="74"/>
      <c r="B478" s="74"/>
      <c r="E478" s="102"/>
      <c r="F478" s="102"/>
      <c r="G478" s="102"/>
      <c r="H478" s="22" t="s">
        <v>171</v>
      </c>
      <c r="I478" s="22"/>
      <c r="J478" s="22" t="s">
        <v>1005</v>
      </c>
      <c r="L478" s="318"/>
      <c r="M478" s="101"/>
      <c r="N478" s="102"/>
    </row>
    <row r="479" spans="1:14" s="76" customFormat="1" ht="31.5" customHeight="1" thickTop="1" thickBot="1" x14ac:dyDescent="0.3">
      <c r="A479" s="79" t="s">
        <v>266</v>
      </c>
      <c r="B479" s="80" t="s">
        <v>265</v>
      </c>
      <c r="C479" s="81"/>
      <c r="D479" s="81"/>
      <c r="E479" s="81"/>
      <c r="F479" s="81"/>
      <c r="G479" s="81"/>
      <c r="H479" s="82" t="str">
        <f>H7</f>
        <v>2022.</v>
      </c>
      <c r="I479" s="82" t="str">
        <f>I7</f>
        <v>2022.</v>
      </c>
      <c r="J479" s="82" t="str">
        <f>J7</f>
        <v>2023.</v>
      </c>
      <c r="L479" s="328"/>
      <c r="M479" s="102"/>
      <c r="N479" s="102"/>
    </row>
    <row r="480" spans="1:14" s="76" customFormat="1" ht="15" customHeight="1" thickTop="1" x14ac:dyDescent="0.25">
      <c r="A480" s="84">
        <v>1</v>
      </c>
      <c r="B480" s="151" t="s">
        <v>699</v>
      </c>
      <c r="C480" s="86"/>
      <c r="D480" s="86"/>
      <c r="E480" s="86"/>
      <c r="F480" s="86"/>
      <c r="G480" s="86"/>
      <c r="H480" s="114">
        <v>2450602108</v>
      </c>
      <c r="I480" s="196">
        <f>+ROUND((H480/$L$2),2)</f>
        <v>325250794.07999998</v>
      </c>
      <c r="J480" s="456">
        <v>510283511.06999999</v>
      </c>
      <c r="L480" s="328" t="s">
        <v>700</v>
      </c>
      <c r="M480" s="102"/>
      <c r="N480" s="102"/>
    </row>
    <row r="481" spans="1:14" s="76" customFormat="1" ht="15" customHeight="1" x14ac:dyDescent="0.25">
      <c r="A481" s="88">
        <v>2</v>
      </c>
      <c r="B481" s="153" t="s">
        <v>701</v>
      </c>
      <c r="C481" s="90"/>
      <c r="D481" s="90"/>
      <c r="E481" s="90"/>
      <c r="F481" s="90"/>
      <c r="G481" s="90"/>
      <c r="H481" s="102">
        <v>810951944</v>
      </c>
      <c r="I481" s="196">
        <f>+ROUND((H481/$L$2),2)</f>
        <v>107631819.5</v>
      </c>
      <c r="J481" s="453">
        <v>107631819.48999999</v>
      </c>
      <c r="L481" s="328" t="s">
        <v>702</v>
      </c>
      <c r="M481" s="102"/>
      <c r="N481" s="102"/>
    </row>
    <row r="482" spans="1:14" s="76" customFormat="1" ht="15" customHeight="1" x14ac:dyDescent="0.25">
      <c r="A482" s="88">
        <v>3</v>
      </c>
      <c r="B482" s="153" t="s">
        <v>703</v>
      </c>
      <c r="C482" s="90"/>
      <c r="D482" s="90"/>
      <c r="E482" s="90"/>
      <c r="F482" s="90"/>
      <c r="G482" s="90"/>
      <c r="H482" s="102">
        <v>496938166</v>
      </c>
      <c r="I482" s="196">
        <f>+ROUND((H482/$L$2),2)</f>
        <v>65955029</v>
      </c>
      <c r="J482" s="453">
        <v>19028671.219999999</v>
      </c>
      <c r="L482" s="328" t="s">
        <v>704</v>
      </c>
      <c r="M482" s="102"/>
      <c r="N482" s="102"/>
    </row>
    <row r="483" spans="1:14" s="76" customFormat="1" ht="15" customHeight="1" x14ac:dyDescent="0.25">
      <c r="A483" s="88">
        <v>4</v>
      </c>
      <c r="B483" s="153" t="s">
        <v>705</v>
      </c>
      <c r="C483" s="90"/>
      <c r="D483" s="90"/>
      <c r="E483" s="90"/>
      <c r="F483" s="90"/>
      <c r="G483" s="90"/>
      <c r="H483" s="102">
        <v>631023847</v>
      </c>
      <c r="I483" s="196">
        <f>+ROUND((H483/$L$2),2)</f>
        <v>83751257.150000006</v>
      </c>
      <c r="J483" s="453">
        <v>39527046.75</v>
      </c>
      <c r="L483" s="328" t="s">
        <v>706</v>
      </c>
      <c r="M483" s="102"/>
      <c r="N483" s="102"/>
    </row>
    <row r="484" spans="1:14" s="76" customFormat="1" ht="15" hidden="1" customHeight="1" x14ac:dyDescent="0.25">
      <c r="A484" s="88">
        <v>5</v>
      </c>
      <c r="B484" s="153" t="s">
        <v>707</v>
      </c>
      <c r="C484" s="90"/>
      <c r="D484" s="90"/>
      <c r="E484" s="90"/>
      <c r="F484" s="90"/>
      <c r="G484" s="90"/>
      <c r="H484" s="102"/>
      <c r="I484" s="196">
        <f>+ROUND((H484/$L$2),2)</f>
        <v>0</v>
      </c>
      <c r="J484" s="453"/>
      <c r="L484" s="328" t="s">
        <v>708</v>
      </c>
      <c r="M484" s="102"/>
      <c r="N484" s="102"/>
    </row>
    <row r="485" spans="1:14" s="76" customFormat="1" ht="15" customHeight="1" thickBot="1" x14ac:dyDescent="0.25">
      <c r="A485" s="91">
        <v>5</v>
      </c>
      <c r="B485" s="159" t="s">
        <v>697</v>
      </c>
      <c r="C485" s="93"/>
      <c r="D485" s="93"/>
      <c r="E485" s="93"/>
      <c r="F485" s="93"/>
      <c r="G485" s="93"/>
      <c r="H485" s="124">
        <f>11105322+17358+16237798+119+26+754900+325784208</f>
        <v>353899731</v>
      </c>
      <c r="I485" s="196">
        <f>+ROUND((H485/$L$2),2)-0.01</f>
        <v>46970566.190000005</v>
      </c>
      <c r="J485" s="485">
        <v>45809055.390000001</v>
      </c>
      <c r="L485" s="780" t="s">
        <v>995</v>
      </c>
      <c r="M485" s="734"/>
      <c r="N485" s="507" t="s">
        <v>1019</v>
      </c>
    </row>
    <row r="486" spans="1:14" s="76" customFormat="1" ht="18" customHeight="1" thickTop="1" thickBot="1" x14ac:dyDescent="0.3">
      <c r="A486" s="95"/>
      <c r="B486" s="110" t="s">
        <v>308</v>
      </c>
      <c r="C486" s="95"/>
      <c r="D486" s="95"/>
      <c r="E486" s="95"/>
      <c r="F486" s="95"/>
      <c r="G486" s="96"/>
      <c r="H486" s="96">
        <f>SUM(H480:H485)</f>
        <v>4743415796</v>
      </c>
      <c r="I486" s="454">
        <f>SUM(I480:I485)</f>
        <v>629559465.92000008</v>
      </c>
      <c r="J486" s="454">
        <f>SUM(J480:J485)</f>
        <v>722280103.91999996</v>
      </c>
      <c r="L486" s="460">
        <f>J486-BILANCA!L117</f>
        <v>0</v>
      </c>
      <c r="M486" s="102"/>
      <c r="N486" s="102"/>
    </row>
    <row r="487" spans="1:14" s="76" customFormat="1" ht="26.25" customHeight="1" thickTop="1" x14ac:dyDescent="0.25">
      <c r="A487" s="104"/>
      <c r="B487" s="111"/>
      <c r="F487" s="125"/>
      <c r="H487" s="125"/>
      <c r="I487" s="125"/>
      <c r="J487" s="125"/>
      <c r="L487" s="460">
        <f>H486/L2</f>
        <v>629559465.92341888</v>
      </c>
      <c r="M487" s="102"/>
      <c r="N487" s="102"/>
    </row>
    <row r="488" spans="1:14" s="76" customFormat="1" ht="18" customHeight="1" x14ac:dyDescent="0.25">
      <c r="A488" s="585" t="s">
        <v>718</v>
      </c>
      <c r="B488" s="768" t="s">
        <v>1061</v>
      </c>
      <c r="C488" s="754"/>
      <c r="D488" s="754"/>
      <c r="E488" s="754"/>
      <c r="F488" s="754"/>
      <c r="G488" s="754"/>
      <c r="H488" s="754"/>
      <c r="I488" s="754"/>
      <c r="J488" s="125"/>
      <c r="L488" s="460"/>
      <c r="M488" s="453"/>
      <c r="N488" s="102"/>
    </row>
    <row r="489" spans="1:14" s="76" customFormat="1" ht="18" customHeight="1" thickBot="1" x14ac:dyDescent="0.3">
      <c r="A489" s="568"/>
      <c r="B489" s="568"/>
      <c r="E489" s="102"/>
      <c r="F489" s="102"/>
      <c r="G489" s="102"/>
      <c r="H489" s="22" t="s">
        <v>171</v>
      </c>
      <c r="I489" s="22"/>
      <c r="J489" s="22" t="s">
        <v>1005</v>
      </c>
      <c r="L489" s="460"/>
      <c r="M489" s="453"/>
      <c r="N489" s="102"/>
    </row>
    <row r="490" spans="1:14" s="76" customFormat="1" ht="27.75" customHeight="1" thickTop="1" thickBot="1" x14ac:dyDescent="0.3">
      <c r="A490" s="79" t="s">
        <v>266</v>
      </c>
      <c r="B490" s="80" t="s">
        <v>265</v>
      </c>
      <c r="C490" s="81"/>
      <c r="D490" s="81"/>
      <c r="E490" s="81"/>
      <c r="F490" s="81"/>
      <c r="G490" s="81"/>
      <c r="H490" s="82">
        <f>H1</f>
        <v>0</v>
      </c>
      <c r="I490" s="82">
        <f>I1</f>
        <v>0</v>
      </c>
      <c r="J490" s="82">
        <f>J1</f>
        <v>0</v>
      </c>
      <c r="L490" s="460"/>
      <c r="M490" s="453"/>
      <c r="N490" s="102"/>
    </row>
    <row r="491" spans="1:14" s="76" customFormat="1" ht="18" customHeight="1" thickTop="1" thickBot="1" x14ac:dyDescent="0.3">
      <c r="A491" s="268">
        <v>1</v>
      </c>
      <c r="B491" s="766" t="s">
        <v>1062</v>
      </c>
      <c r="C491" s="766"/>
      <c r="D491" s="766"/>
      <c r="E491" s="269"/>
      <c r="F491" s="269"/>
      <c r="G491" s="269"/>
      <c r="H491" s="270"/>
      <c r="I491" s="196"/>
      <c r="J491" s="493">
        <v>75000000</v>
      </c>
      <c r="L491" s="328">
        <v>24590000</v>
      </c>
      <c r="M491" s="453"/>
      <c r="N491" s="102"/>
    </row>
    <row r="492" spans="1:14" s="76" customFormat="1" ht="18" customHeight="1" thickTop="1" thickBot="1" x14ac:dyDescent="0.3">
      <c r="A492" s="95"/>
      <c r="B492" s="110" t="s">
        <v>854</v>
      </c>
      <c r="C492" s="95"/>
      <c r="D492" s="95"/>
      <c r="E492" s="95"/>
      <c r="F492" s="95"/>
      <c r="G492" s="96"/>
      <c r="H492" s="96">
        <f>SUM(H491:H491)</f>
        <v>0</v>
      </c>
      <c r="I492" s="454">
        <f>SUM(I491:I491)</f>
        <v>0</v>
      </c>
      <c r="J492" s="454">
        <f>SUM(J491:J491)</f>
        <v>75000000</v>
      </c>
      <c r="L492" s="460"/>
      <c r="M492" s="453"/>
      <c r="N492" s="102"/>
    </row>
    <row r="493" spans="1:14" s="76" customFormat="1" ht="18" customHeight="1" thickTop="1" x14ac:dyDescent="0.25">
      <c r="A493" s="104"/>
      <c r="B493" s="111"/>
      <c r="F493" s="125"/>
      <c r="H493" s="125"/>
      <c r="I493" s="125"/>
      <c r="J493" s="125"/>
      <c r="L493" s="460"/>
      <c r="M493" s="453"/>
      <c r="N493" s="102"/>
    </row>
    <row r="494" spans="1:14" s="76" customFormat="1" ht="20.25" customHeight="1" x14ac:dyDescent="0.25">
      <c r="A494" s="74" t="s">
        <v>741</v>
      </c>
      <c r="B494" s="74" t="s">
        <v>710</v>
      </c>
      <c r="E494" s="102"/>
      <c r="F494" s="102"/>
      <c r="G494" s="102"/>
      <c r="L494" s="318"/>
      <c r="M494" s="453"/>
      <c r="N494" s="102"/>
    </row>
    <row r="495" spans="1:14" s="76" customFormat="1" ht="15.75" customHeight="1" thickBot="1" x14ac:dyDescent="0.3">
      <c r="A495" s="74"/>
      <c r="B495" s="74"/>
      <c r="E495" s="102"/>
      <c r="F495" s="102"/>
      <c r="G495" s="102"/>
      <c r="H495" s="22" t="s">
        <v>171</v>
      </c>
      <c r="I495" s="22"/>
      <c r="J495" s="22" t="s">
        <v>1005</v>
      </c>
      <c r="L495" s="318"/>
      <c r="M495" s="102"/>
      <c r="N495" s="102"/>
    </row>
    <row r="496" spans="1:14" s="76" customFormat="1" ht="31.5" customHeight="1" thickTop="1" thickBot="1" x14ac:dyDescent="0.3">
      <c r="A496" s="79" t="s">
        <v>266</v>
      </c>
      <c r="B496" s="80" t="s">
        <v>265</v>
      </c>
      <c r="C496" s="81"/>
      <c r="D496" s="81"/>
      <c r="E496" s="81"/>
      <c r="F496" s="81"/>
      <c r="G496" s="81"/>
      <c r="H496" s="82" t="str">
        <f>H7</f>
        <v>2022.</v>
      </c>
      <c r="I496" s="82" t="str">
        <f>I7</f>
        <v>2022.</v>
      </c>
      <c r="J496" s="82" t="str">
        <f>J7</f>
        <v>2023.</v>
      </c>
      <c r="L496" s="318"/>
      <c r="M496" s="102"/>
      <c r="N496" s="102"/>
    </row>
    <row r="497" spans="1:14" s="76" customFormat="1" ht="15" customHeight="1" thickTop="1" thickBot="1" x14ac:dyDescent="0.3">
      <c r="A497" s="268">
        <v>1</v>
      </c>
      <c r="B497" s="766" t="s">
        <v>309</v>
      </c>
      <c r="C497" s="766"/>
      <c r="D497" s="766"/>
      <c r="E497" s="269"/>
      <c r="F497" s="269"/>
      <c r="G497" s="269"/>
      <c r="H497" s="270">
        <f>48125000+91375683</f>
        <v>139500683</v>
      </c>
      <c r="I497" s="196">
        <f>+ROUND((H497/$L$2),2)</f>
        <v>18514922.420000002</v>
      </c>
      <c r="J497" s="493">
        <f>906774570.31+10815901.75</f>
        <v>917590472.05999994</v>
      </c>
      <c r="L497" s="328" t="s">
        <v>994</v>
      </c>
      <c r="M497" s="102"/>
      <c r="N497" s="102"/>
    </row>
    <row r="498" spans="1:14" s="76" customFormat="1" ht="28.15" customHeight="1" thickTop="1" thickBot="1" x14ac:dyDescent="0.3">
      <c r="A498" s="95"/>
      <c r="B498" s="110" t="s">
        <v>854</v>
      </c>
      <c r="C498" s="95"/>
      <c r="D498" s="95"/>
      <c r="E498" s="95"/>
      <c r="F498" s="95"/>
      <c r="G498" s="96"/>
      <c r="H498" s="96">
        <f>SUM(H497:H497)</f>
        <v>139500683</v>
      </c>
      <c r="I498" s="454">
        <f>SUM(I497:I497)</f>
        <v>18514922.420000002</v>
      </c>
      <c r="J498" s="454">
        <f>SUM(J497:J497)</f>
        <v>917590472.05999994</v>
      </c>
      <c r="K498" s="100"/>
      <c r="L498" s="460">
        <f>J498-BILANCA!L122</f>
        <v>0</v>
      </c>
      <c r="M498" s="101"/>
      <c r="N498" s="101"/>
    </row>
    <row r="499" spans="1:14" s="76" customFormat="1" ht="21.75" customHeight="1" thickTop="1" x14ac:dyDescent="0.25">
      <c r="A499" s="100"/>
      <c r="B499" s="218"/>
      <c r="C499" s="100"/>
      <c r="D499" s="100"/>
      <c r="E499" s="100"/>
      <c r="F499" s="100"/>
      <c r="G499" s="112"/>
      <c r="H499" s="112"/>
      <c r="I499" s="112"/>
      <c r="J499" s="112"/>
      <c r="K499" s="100"/>
      <c r="L499" s="330"/>
      <c r="M499" s="101"/>
      <c r="N499" s="101"/>
    </row>
    <row r="500" spans="1:14" ht="21" hidden="1" customHeight="1" x14ac:dyDescent="0.25">
      <c r="A500" s="283" t="s">
        <v>711</v>
      </c>
      <c r="B500" s="731" t="s">
        <v>858</v>
      </c>
      <c r="C500" s="731"/>
      <c r="D500" s="731"/>
      <c r="E500" s="102"/>
      <c r="F500" s="102"/>
      <c r="G500" s="102"/>
    </row>
    <row r="501" spans="1:14" ht="15.75" hidden="1" customHeight="1" thickBot="1" x14ac:dyDescent="0.3">
      <c r="A501" s="283"/>
      <c r="B501" s="283"/>
      <c r="C501" s="283"/>
      <c r="D501" s="283"/>
      <c r="E501" s="102"/>
      <c r="F501" s="102"/>
      <c r="G501" s="102"/>
      <c r="H501" s="22" t="s">
        <v>171</v>
      </c>
      <c r="I501" s="22" t="s">
        <v>1005</v>
      </c>
      <c r="J501" s="22" t="s">
        <v>1005</v>
      </c>
    </row>
    <row r="502" spans="1:14" ht="31.5" hidden="1" thickTop="1" thickBot="1" x14ac:dyDescent="0.3">
      <c r="A502" s="79" t="s">
        <v>266</v>
      </c>
      <c r="B502" s="80" t="s">
        <v>265</v>
      </c>
      <c r="C502" s="81"/>
      <c r="D502" s="81"/>
      <c r="E502" s="81"/>
      <c r="F502" s="81"/>
      <c r="G502" s="81"/>
      <c r="H502" s="82" t="str">
        <f>H7</f>
        <v>2022.</v>
      </c>
      <c r="I502" s="82" t="str">
        <f>I7</f>
        <v>2022.</v>
      </c>
      <c r="J502" s="82" t="str">
        <f>J7</f>
        <v>2023.</v>
      </c>
    </row>
    <row r="503" spans="1:14" ht="14.25" hidden="1" customHeight="1" thickTop="1" x14ac:dyDescent="0.25">
      <c r="A503" s="84">
        <v>1</v>
      </c>
      <c r="B503" s="758" t="s">
        <v>862</v>
      </c>
      <c r="C503" s="759"/>
      <c r="D503" s="759"/>
      <c r="E503" s="759"/>
      <c r="F503" s="759"/>
      <c r="G503" s="86"/>
      <c r="H503" s="87"/>
      <c r="I503" s="451"/>
      <c r="J503" s="451"/>
      <c r="L503" s="320" t="s">
        <v>859</v>
      </c>
    </row>
    <row r="504" spans="1:14" ht="14.25" hidden="1" customHeight="1" x14ac:dyDescent="0.25">
      <c r="A504" s="88">
        <v>2</v>
      </c>
      <c r="B504" s="738" t="s">
        <v>863</v>
      </c>
      <c r="C504" s="734"/>
      <c r="D504" s="734"/>
      <c r="E504" s="734"/>
      <c r="F504" s="734"/>
      <c r="G504" s="90"/>
      <c r="H504" s="75"/>
      <c r="I504" s="196"/>
      <c r="J504" s="196"/>
      <c r="L504" s="320" t="s">
        <v>860</v>
      </c>
    </row>
    <row r="505" spans="1:14" ht="14.25" hidden="1" customHeight="1" thickBot="1" x14ac:dyDescent="0.3">
      <c r="A505" s="285">
        <v>3</v>
      </c>
      <c r="B505" s="732" t="s">
        <v>864</v>
      </c>
      <c r="C505" s="760"/>
      <c r="D505" s="760"/>
      <c r="E505" s="760"/>
      <c r="F505" s="760"/>
      <c r="G505" s="93"/>
      <c r="H505" s="94"/>
      <c r="I505" s="452"/>
      <c r="J505" s="452"/>
      <c r="L505" s="320" t="s">
        <v>861</v>
      </c>
    </row>
    <row r="506" spans="1:14" ht="18" hidden="1" customHeight="1" thickTop="1" thickBot="1" x14ac:dyDescent="0.3">
      <c r="A506" s="95"/>
      <c r="B506" s="95" t="s">
        <v>270</v>
      </c>
      <c r="C506" s="95"/>
      <c r="D506" s="95"/>
      <c r="E506" s="95"/>
      <c r="F506" s="95"/>
      <c r="G506" s="96"/>
      <c r="H506" s="96">
        <f>SUM(H503:H505)</f>
        <v>0</v>
      </c>
      <c r="I506" s="454">
        <f>SUM(I503:I505)</f>
        <v>0</v>
      </c>
      <c r="J506" s="454">
        <f>SUM(J503:J505)</f>
        <v>0</v>
      </c>
      <c r="L506" s="458">
        <f>J506-0</f>
        <v>0</v>
      </c>
    </row>
    <row r="507" spans="1:14" s="76" customFormat="1" ht="18" hidden="1" customHeight="1" thickTop="1" x14ac:dyDescent="0.25">
      <c r="A507" s="104"/>
      <c r="B507" s="271"/>
      <c r="F507" s="102"/>
      <c r="G507" s="77"/>
      <c r="H507" s="141"/>
      <c r="I507" s="141"/>
      <c r="J507" s="141"/>
      <c r="L507" s="318"/>
      <c r="M507" s="102"/>
      <c r="N507" s="102"/>
    </row>
    <row r="508" spans="1:14" ht="21" customHeight="1" x14ac:dyDescent="0.25">
      <c r="A508" s="74" t="s">
        <v>745</v>
      </c>
      <c r="B508" s="731" t="s">
        <v>712</v>
      </c>
      <c r="C508" s="731"/>
      <c r="D508" s="731"/>
      <c r="E508" s="102"/>
      <c r="F508" s="102"/>
      <c r="G508" s="102"/>
    </row>
    <row r="509" spans="1:14" ht="15.75" customHeight="1" thickBot="1" x14ac:dyDescent="0.3">
      <c r="A509" s="74"/>
      <c r="B509" s="74"/>
      <c r="C509" s="74"/>
      <c r="D509" s="74"/>
      <c r="E509" s="102"/>
      <c r="F509" s="102"/>
      <c r="G509" s="102"/>
      <c r="H509" s="22" t="s">
        <v>171</v>
      </c>
      <c r="I509" s="22"/>
      <c r="J509" s="22" t="s">
        <v>1005</v>
      </c>
    </row>
    <row r="510" spans="1:14" ht="31.5" thickTop="1" thickBot="1" x14ac:dyDescent="0.3">
      <c r="A510" s="79" t="s">
        <v>266</v>
      </c>
      <c r="B510" s="80" t="s">
        <v>265</v>
      </c>
      <c r="C510" s="81"/>
      <c r="D510" s="81"/>
      <c r="E510" s="81"/>
      <c r="F510" s="81"/>
      <c r="G510" s="81"/>
      <c r="H510" s="82" t="str">
        <f>H7</f>
        <v>2022.</v>
      </c>
      <c r="I510" s="82" t="str">
        <f>I7</f>
        <v>2022.</v>
      </c>
      <c r="J510" s="82" t="str">
        <f>J7</f>
        <v>2023.</v>
      </c>
    </row>
    <row r="511" spans="1:14" ht="14.25" customHeight="1" thickTop="1" x14ac:dyDescent="0.25">
      <c r="A511" s="84">
        <v>1</v>
      </c>
      <c r="B511" s="256" t="s">
        <v>713</v>
      </c>
      <c r="C511" s="86"/>
      <c r="D511" s="86"/>
      <c r="E511" s="86"/>
      <c r="F511" s="86"/>
      <c r="G511" s="86"/>
      <c r="H511" s="87">
        <v>5521455</v>
      </c>
      <c r="I511" s="196">
        <f>+ROUND((H511/$L$2),2)</f>
        <v>732823.01</v>
      </c>
      <c r="J511" s="451">
        <v>728843.07</v>
      </c>
      <c r="L511" s="314">
        <v>271</v>
      </c>
    </row>
    <row r="512" spans="1:14" ht="14.25" customHeight="1" x14ac:dyDescent="0.25">
      <c r="A512" s="88">
        <v>2</v>
      </c>
      <c r="B512" s="257" t="s">
        <v>714</v>
      </c>
      <c r="C512" s="90"/>
      <c r="D512" s="90"/>
      <c r="E512" s="90"/>
      <c r="F512" s="90"/>
      <c r="G512" s="90"/>
      <c r="H512" s="75">
        <f>1715328+951068</f>
        <v>2666396</v>
      </c>
      <c r="I512" s="196">
        <f>+ROUND((H512/$L$2),2)</f>
        <v>353891.57</v>
      </c>
      <c r="J512" s="196">
        <f>223275.74+114643.08</f>
        <v>337918.82</v>
      </c>
      <c r="L512" s="314">
        <v>274.27499999999998</v>
      </c>
    </row>
    <row r="513" spans="1:14" ht="14.25" customHeight="1" thickBot="1" x14ac:dyDescent="0.3">
      <c r="A513" s="91">
        <v>3</v>
      </c>
      <c r="B513" s="154" t="s">
        <v>697</v>
      </c>
      <c r="C513" s="93"/>
      <c r="D513" s="93"/>
      <c r="E513" s="93"/>
      <c r="F513" s="93"/>
      <c r="G513" s="93"/>
      <c r="H513" s="94">
        <f>3778+1010353+294174+36132</f>
        <v>1344437</v>
      </c>
      <c r="I513" s="196">
        <f>+ROUND((H513/$L$2),2)</f>
        <v>178437.45</v>
      </c>
      <c r="J513" s="452">
        <f>2175.57+122579.41+37586.04+5520.22</f>
        <v>167861.24000000002</v>
      </c>
      <c r="L513" s="741" t="s">
        <v>715</v>
      </c>
      <c r="M513" s="734"/>
    </row>
    <row r="514" spans="1:14" ht="18" customHeight="1" thickTop="1" thickBot="1" x14ac:dyDescent="0.3">
      <c r="A514" s="95"/>
      <c r="B514" s="95" t="s">
        <v>270</v>
      </c>
      <c r="C514" s="95"/>
      <c r="D514" s="95"/>
      <c r="E514" s="95"/>
      <c r="F514" s="95"/>
      <c r="G514" s="96"/>
      <c r="H514" s="96">
        <f>SUM(H511:H513)</f>
        <v>9532288</v>
      </c>
      <c r="I514" s="454">
        <f>SUM(I511:I513)</f>
        <v>1265152.03</v>
      </c>
      <c r="J514" s="454">
        <f>SUM(J511:J513)</f>
        <v>1234623.1299999999</v>
      </c>
      <c r="L514" s="455">
        <f>J514-BILANCA!L126</f>
        <v>0</v>
      </c>
    </row>
    <row r="515" spans="1:14" ht="18" customHeight="1" thickTop="1" x14ac:dyDescent="0.25">
      <c r="A515" s="104"/>
      <c r="B515" s="76"/>
      <c r="C515" s="76"/>
      <c r="D515" s="76"/>
      <c r="E515" s="76"/>
      <c r="F515" s="102"/>
      <c r="G515" s="77"/>
      <c r="H515" s="102"/>
      <c r="I515" s="102"/>
      <c r="J515" s="102"/>
      <c r="L515" s="455">
        <f>H514/L2</f>
        <v>1265152.0339770389</v>
      </c>
    </row>
    <row r="516" spans="1:14" ht="21" customHeight="1" x14ac:dyDescent="0.25">
      <c r="A516" s="74" t="s">
        <v>747</v>
      </c>
      <c r="B516" s="731" t="s">
        <v>717</v>
      </c>
      <c r="C516" s="731"/>
      <c r="D516" s="731"/>
      <c r="E516" s="102"/>
      <c r="F516" s="102"/>
      <c r="G516" s="102"/>
    </row>
    <row r="517" spans="1:14" ht="15.75" thickBot="1" x14ac:dyDescent="0.3">
      <c r="A517" s="74"/>
      <c r="B517" s="74"/>
      <c r="C517" s="74"/>
      <c r="D517" s="74"/>
      <c r="E517" s="102"/>
      <c r="F517" s="102"/>
      <c r="G517" s="102"/>
      <c r="H517" s="22" t="s">
        <v>171</v>
      </c>
      <c r="I517" s="22"/>
      <c r="J517" s="22" t="s">
        <v>1005</v>
      </c>
    </row>
    <row r="518" spans="1:14" s="76" customFormat="1" ht="31.5" customHeight="1" thickTop="1" thickBot="1" x14ac:dyDescent="0.3">
      <c r="A518" s="79" t="s">
        <v>266</v>
      </c>
      <c r="B518" s="80" t="s">
        <v>265</v>
      </c>
      <c r="C518" s="81"/>
      <c r="D518" s="81"/>
      <c r="E518" s="81"/>
      <c r="F518" s="81"/>
      <c r="G518" s="81"/>
      <c r="H518" s="82" t="str">
        <f>H7</f>
        <v>2022.</v>
      </c>
      <c r="I518" s="82" t="str">
        <f>I7</f>
        <v>2022.</v>
      </c>
      <c r="J518" s="82" t="str">
        <f>J7</f>
        <v>2023.</v>
      </c>
      <c r="L518" s="316"/>
      <c r="M518" s="77"/>
      <c r="N518" s="77"/>
    </row>
    <row r="519" spans="1:14" s="76" customFormat="1" ht="15" customHeight="1" thickTop="1" x14ac:dyDescent="0.25">
      <c r="A519" s="84">
        <v>1</v>
      </c>
      <c r="B519" s="758" t="s">
        <v>1002</v>
      </c>
      <c r="C519" s="759"/>
      <c r="D519" s="759"/>
      <c r="E519" s="86"/>
      <c r="F519" s="86"/>
      <c r="G519" s="86"/>
      <c r="H519" s="87">
        <f>66351807</f>
        <v>66351807</v>
      </c>
      <c r="I519" s="196">
        <f>+ROUND((H519/$L$2),2)</f>
        <v>8806398.1699999999</v>
      </c>
      <c r="J519" s="451">
        <f>42653501.27-5702878.46-0.01</f>
        <v>36950622.800000004</v>
      </c>
      <c r="L519" s="366" t="s">
        <v>1092</v>
      </c>
      <c r="M519" s="77"/>
      <c r="N519" s="77"/>
    </row>
    <row r="520" spans="1:14" s="76" customFormat="1" ht="15" customHeight="1" thickBot="1" x14ac:dyDescent="0.3">
      <c r="A520" s="91">
        <v>2</v>
      </c>
      <c r="B520" s="154" t="s">
        <v>310</v>
      </c>
      <c r="C520" s="93"/>
      <c r="D520" s="93"/>
      <c r="E520" s="93"/>
      <c r="F520" s="93"/>
      <c r="G520" s="93"/>
      <c r="H520" s="94">
        <f>213047+5190+73366+362693+405712-294174-36132</f>
        <v>729702</v>
      </c>
      <c r="I520" s="196">
        <f>+ROUND((H520/$L$2),2)</f>
        <v>96848.1</v>
      </c>
      <c r="J520" s="452">
        <f>4449.76+10185.68+8235.73+55787.7-37586.04-5520.21</f>
        <v>35552.619999999995</v>
      </c>
      <c r="L520" s="316" t="s">
        <v>996</v>
      </c>
      <c r="M520" s="77"/>
      <c r="N520" s="77"/>
    </row>
    <row r="521" spans="1:14" s="76" customFormat="1" ht="18" customHeight="1" thickTop="1" thickBot="1" x14ac:dyDescent="0.3">
      <c r="A521" s="95"/>
      <c r="B521" s="110" t="s">
        <v>272</v>
      </c>
      <c r="C521" s="95"/>
      <c r="D521" s="95"/>
      <c r="E521" s="95"/>
      <c r="F521" s="95"/>
      <c r="G521" s="96"/>
      <c r="H521" s="96">
        <f>SUM(H519:H520)</f>
        <v>67081509</v>
      </c>
      <c r="I521" s="454">
        <f>SUM(I519:I520)</f>
        <v>8903246.2699999996</v>
      </c>
      <c r="J521" s="454">
        <f>SUM(J519:J520)</f>
        <v>36986175.420000002</v>
      </c>
      <c r="L521" s="486">
        <f>J521-BILANCA!L130</f>
        <v>0</v>
      </c>
      <c r="M521" s="77"/>
      <c r="N521" s="77"/>
    </row>
    <row r="522" spans="1:14" s="76" customFormat="1" ht="18" customHeight="1" thickTop="1" x14ac:dyDescent="0.25">
      <c r="A522" s="100"/>
      <c r="B522" s="218"/>
      <c r="C522" s="100"/>
      <c r="D522" s="100"/>
      <c r="E522" s="100"/>
      <c r="F522" s="100"/>
      <c r="G522" s="112"/>
      <c r="H522" s="112"/>
      <c r="I522" s="112"/>
      <c r="J522" s="112"/>
      <c r="L522" s="486">
        <f>H521/L2</f>
        <v>8903246.2671710122</v>
      </c>
      <c r="M522" s="77"/>
      <c r="N522" s="77"/>
    </row>
    <row r="523" spans="1:14" ht="20.25" customHeight="1" x14ac:dyDescent="0.25">
      <c r="A523" s="71" t="s">
        <v>749</v>
      </c>
      <c r="B523" s="731" t="s">
        <v>900</v>
      </c>
      <c r="C523" s="731"/>
      <c r="D523" s="731"/>
      <c r="E523" s="731"/>
      <c r="F523" s="731"/>
      <c r="G523" s="731"/>
      <c r="H523" s="731"/>
      <c r="I523" s="731"/>
      <c r="J523" s="731"/>
    </row>
    <row r="524" spans="1:14" ht="15.75" customHeight="1" thickBot="1" x14ac:dyDescent="0.3">
      <c r="A524" s="71"/>
      <c r="B524" s="311"/>
      <c r="C524" s="313"/>
      <c r="D524" s="313"/>
      <c r="E524" s="313"/>
      <c r="F524" s="75"/>
      <c r="G524" s="75"/>
      <c r="H524" s="22" t="s">
        <v>171</v>
      </c>
      <c r="I524" s="22"/>
      <c r="J524" s="22" t="s">
        <v>1005</v>
      </c>
    </row>
    <row r="525" spans="1:14" ht="31.5" customHeight="1" thickTop="1" thickBot="1" x14ac:dyDescent="0.3">
      <c r="A525" s="79" t="s">
        <v>266</v>
      </c>
      <c r="B525" s="80" t="s">
        <v>265</v>
      </c>
      <c r="C525" s="81"/>
      <c r="D525" s="81"/>
      <c r="E525" s="81"/>
      <c r="F525" s="81"/>
      <c r="G525" s="81"/>
      <c r="H525" s="82" t="str">
        <f>H7</f>
        <v>2022.</v>
      </c>
      <c r="I525" s="82" t="str">
        <f>I7</f>
        <v>2022.</v>
      </c>
      <c r="J525" s="82" t="str">
        <f>J7</f>
        <v>2023.</v>
      </c>
    </row>
    <row r="526" spans="1:14" ht="15" hidden="1" customHeight="1" thickTop="1" x14ac:dyDescent="0.25">
      <c r="A526" s="84">
        <v>1</v>
      </c>
      <c r="B526" s="762" t="s">
        <v>902</v>
      </c>
      <c r="C526" s="759"/>
      <c r="D526" s="759"/>
      <c r="E526" s="759"/>
      <c r="F526" s="759"/>
      <c r="G526" s="759"/>
      <c r="H526" s="87"/>
      <c r="I526" s="451"/>
      <c r="J526" s="451"/>
      <c r="L526" s="314">
        <v>29270000</v>
      </c>
    </row>
    <row r="527" spans="1:14" ht="15" customHeight="1" thickTop="1" x14ac:dyDescent="0.25">
      <c r="A527" s="88">
        <v>1</v>
      </c>
      <c r="B527" s="736" t="s">
        <v>1137</v>
      </c>
      <c r="C527" s="720"/>
      <c r="D527" s="720"/>
      <c r="E527" s="720"/>
      <c r="F527" s="720"/>
      <c r="G527" s="345"/>
      <c r="H527" s="75">
        <v>41765476</v>
      </c>
      <c r="I527" s="196">
        <f>+ROUND((H527/$L$2),2)</f>
        <v>5543231.2699999996</v>
      </c>
      <c r="J527" s="196">
        <v>9464189.5500000007</v>
      </c>
      <c r="L527" s="321" t="s">
        <v>993</v>
      </c>
    </row>
    <row r="528" spans="1:14" ht="15" customHeight="1" x14ac:dyDescent="0.25">
      <c r="A528" s="88">
        <v>2</v>
      </c>
      <c r="B528" s="719" t="s">
        <v>901</v>
      </c>
      <c r="C528" s="720"/>
      <c r="D528" s="720"/>
      <c r="E528" s="720"/>
      <c r="F528" s="720"/>
      <c r="G528" s="720"/>
      <c r="H528" s="75">
        <v>5417658</v>
      </c>
      <c r="I528" s="196">
        <f>+ROUND((H528/$L$2),2)</f>
        <v>719046.78</v>
      </c>
      <c r="J528" s="196">
        <v>705256</v>
      </c>
      <c r="L528" s="314">
        <v>29004</v>
      </c>
    </row>
    <row r="529" spans="1:18" ht="15" customHeight="1" thickBot="1" x14ac:dyDescent="0.25">
      <c r="A529" s="88">
        <v>3</v>
      </c>
      <c r="B529" s="719" t="s">
        <v>903</v>
      </c>
      <c r="C529" s="734"/>
      <c r="D529" s="734"/>
      <c r="E529" s="734"/>
      <c r="F529" s="734"/>
      <c r="G529" s="338"/>
      <c r="H529" s="75">
        <v>7659825</v>
      </c>
      <c r="I529" s="196">
        <f>+ROUND((H529/$L$2),2)+0.01</f>
        <v>1016633.5</v>
      </c>
      <c r="J529" s="196">
        <v>1435760.22</v>
      </c>
      <c r="L529" s="314">
        <v>29006</v>
      </c>
      <c r="N529" s="507" t="s">
        <v>1018</v>
      </c>
    </row>
    <row r="530" spans="1:18" ht="15" hidden="1" customHeight="1" thickBot="1" x14ac:dyDescent="0.3">
      <c r="A530" s="88">
        <v>5</v>
      </c>
      <c r="B530" s="763" t="s">
        <v>904</v>
      </c>
      <c r="C530" s="760"/>
      <c r="D530" s="760"/>
      <c r="E530" s="760"/>
      <c r="F530" s="760"/>
      <c r="G530" s="90"/>
      <c r="H530" s="75"/>
      <c r="I530" s="196"/>
      <c r="J530" s="196"/>
      <c r="L530" s="331" t="s">
        <v>905</v>
      </c>
      <c r="M530" s="312"/>
      <c r="N530" s="312"/>
    </row>
    <row r="531" spans="1:18" s="76" customFormat="1" ht="18" customHeight="1" thickTop="1" thickBot="1" x14ac:dyDescent="0.3">
      <c r="A531" s="95"/>
      <c r="B531" s="110" t="s">
        <v>270</v>
      </c>
      <c r="C531" s="95"/>
      <c r="D531" s="95"/>
      <c r="E531" s="95"/>
      <c r="F531" s="95"/>
      <c r="G531" s="96"/>
      <c r="H531" s="96">
        <f>SUM(H526:H530)</f>
        <v>54842959</v>
      </c>
      <c r="I531" s="454">
        <f>SUM(I526:I530)</f>
        <v>7278911.5499999998</v>
      </c>
      <c r="J531" s="454">
        <f>SUM(J526:J530)</f>
        <v>11605205.770000001</v>
      </c>
      <c r="L531" s="486">
        <f>J531-BILANCA!L131</f>
        <v>0</v>
      </c>
      <c r="M531" s="77"/>
      <c r="N531" s="77"/>
    </row>
    <row r="532" spans="1:18" s="76" customFormat="1" ht="18" customHeight="1" thickTop="1" x14ac:dyDescent="0.25">
      <c r="A532" s="104"/>
      <c r="B532" s="337"/>
      <c r="F532" s="125"/>
      <c r="G532" s="258"/>
      <c r="H532" s="141"/>
      <c r="I532" s="141"/>
      <c r="J532" s="141"/>
      <c r="L532" s="487">
        <f>H531/L2</f>
        <v>7278911.540248191</v>
      </c>
      <c r="M532" s="77"/>
      <c r="N532" s="77"/>
    </row>
    <row r="533" spans="1:18" ht="20.25" customHeight="1" x14ac:dyDescent="0.25">
      <c r="A533" s="71" t="s">
        <v>872</v>
      </c>
      <c r="B533" s="731" t="s">
        <v>865</v>
      </c>
      <c r="C533" s="731"/>
      <c r="D533" s="731"/>
      <c r="E533" s="731"/>
      <c r="F533" s="731"/>
      <c r="G533" s="731"/>
      <c r="H533" s="731"/>
      <c r="I533" s="731"/>
      <c r="J533" s="731"/>
    </row>
    <row r="534" spans="1:18" ht="15.75" customHeight="1" thickBot="1" x14ac:dyDescent="0.3">
      <c r="A534" s="71"/>
      <c r="B534" s="74"/>
      <c r="C534" s="113"/>
      <c r="D534" s="113"/>
      <c r="E534" s="113"/>
      <c r="F534" s="75"/>
      <c r="G534" s="75"/>
      <c r="H534" s="22" t="s">
        <v>171</v>
      </c>
      <c r="I534" s="22"/>
      <c r="J534" s="22" t="s">
        <v>1005</v>
      </c>
    </row>
    <row r="535" spans="1:18" ht="31.5" customHeight="1" thickTop="1" thickBot="1" x14ac:dyDescent="0.3">
      <c r="A535" s="79" t="s">
        <v>266</v>
      </c>
      <c r="B535" s="80" t="s">
        <v>265</v>
      </c>
      <c r="C535" s="81"/>
      <c r="D535" s="81"/>
      <c r="E535" s="81"/>
      <c r="F535" s="81"/>
      <c r="G535" s="81"/>
      <c r="H535" s="82" t="str">
        <f>H7</f>
        <v>2022.</v>
      </c>
      <c r="I535" s="82" t="str">
        <f>I7</f>
        <v>2022.</v>
      </c>
      <c r="J535" s="82" t="str">
        <f>J7</f>
        <v>2023.</v>
      </c>
      <c r="L535" s="314" t="s">
        <v>883</v>
      </c>
      <c r="O535" s="539" t="s">
        <v>911</v>
      </c>
      <c r="P535" s="539" t="s">
        <v>1011</v>
      </c>
    </row>
    <row r="536" spans="1:18" ht="15" customHeight="1" thickTop="1" x14ac:dyDescent="0.25">
      <c r="A536" s="84">
        <v>1</v>
      </c>
      <c r="B536" s="272" t="s">
        <v>300</v>
      </c>
      <c r="C536" s="86"/>
      <c r="D536" s="86"/>
      <c r="E536" s="86"/>
      <c r="F536" s="86"/>
      <c r="G536" s="86"/>
      <c r="H536" s="87">
        <v>248020</v>
      </c>
      <c r="I536" s="196">
        <f>+ROUND((H536/$L$2),2)</f>
        <v>32917.910000000003</v>
      </c>
      <c r="J536" s="451">
        <f>3667.69+28692.54</f>
        <v>32360.23</v>
      </c>
      <c r="L536" s="314">
        <v>16702</v>
      </c>
      <c r="N536" s="352" t="s">
        <v>914</v>
      </c>
      <c r="O536" s="367">
        <v>60902</v>
      </c>
      <c r="P536" s="540">
        <f>1082.26+9161.36</f>
        <v>10243.620000000001</v>
      </c>
    </row>
    <row r="537" spans="1:18" ht="15" customHeight="1" x14ac:dyDescent="0.25">
      <c r="A537" s="88">
        <v>2</v>
      </c>
      <c r="B537" s="273" t="s">
        <v>299</v>
      </c>
      <c r="C537" s="90"/>
      <c r="D537" s="90"/>
      <c r="E537" s="90"/>
      <c r="F537" s="90"/>
      <c r="G537" s="90"/>
      <c r="H537" s="75">
        <v>1426505725</v>
      </c>
      <c r="I537" s="196">
        <f>+ROUND((H537/$L$2),2)</f>
        <v>189329846.03999999</v>
      </c>
      <c r="J537" s="196">
        <v>0</v>
      </c>
      <c r="L537" s="314">
        <v>147901</v>
      </c>
      <c r="N537" s="353" t="s">
        <v>915</v>
      </c>
      <c r="O537" s="367">
        <v>24234</v>
      </c>
      <c r="P537" s="494">
        <v>1885.54</v>
      </c>
    </row>
    <row r="538" spans="1:18" ht="15" customHeight="1" x14ac:dyDescent="0.25">
      <c r="A538" s="88">
        <v>3</v>
      </c>
      <c r="B538" s="358" t="s">
        <v>1138</v>
      </c>
      <c r="C538" s="90"/>
      <c r="D538" s="90"/>
      <c r="E538" s="90"/>
      <c r="F538" s="90"/>
      <c r="G538" s="90"/>
      <c r="H538" s="75">
        <v>45140108</v>
      </c>
      <c r="I538" s="196">
        <f>+ROUND((H538/$L$2),2)-0.01</f>
        <v>5991121.9000000004</v>
      </c>
      <c r="J538" s="196">
        <v>17916724.780000001</v>
      </c>
      <c r="L538" s="535">
        <v>1679</v>
      </c>
      <c r="N538" s="354" t="s">
        <v>916</v>
      </c>
      <c r="O538" s="368">
        <v>10153</v>
      </c>
      <c r="P538" s="541">
        <v>0</v>
      </c>
      <c r="R538" s="538">
        <v>-0.01</v>
      </c>
    </row>
    <row r="539" spans="1:18" ht="15" customHeight="1" x14ac:dyDescent="0.25">
      <c r="A539" s="88">
        <v>4</v>
      </c>
      <c r="B539" s="358" t="s">
        <v>1031</v>
      </c>
      <c r="C539" s="90"/>
      <c r="D539" s="90"/>
      <c r="E539" s="90"/>
      <c r="F539" s="90"/>
      <c r="G539" s="90"/>
      <c r="H539" s="75"/>
      <c r="I539" s="196"/>
      <c r="J539" s="196">
        <v>1922500.27</v>
      </c>
      <c r="L539" s="535" t="s">
        <v>1032</v>
      </c>
      <c r="N539" s="353" t="s">
        <v>1028</v>
      </c>
      <c r="O539" s="367">
        <f>45354904-45140108</f>
        <v>214796</v>
      </c>
      <c r="P539" s="494">
        <v>3.98</v>
      </c>
      <c r="R539" s="538"/>
    </row>
    <row r="540" spans="1:18" ht="15" customHeight="1" thickBot="1" x14ac:dyDescent="0.3">
      <c r="A540" s="88">
        <v>5</v>
      </c>
      <c r="B540" s="273" t="s">
        <v>298</v>
      </c>
      <c r="C540" s="90"/>
      <c r="D540" s="90"/>
      <c r="E540" s="90"/>
      <c r="F540" s="90"/>
      <c r="G540" s="90"/>
      <c r="H540" s="75">
        <f>O542</f>
        <v>480363</v>
      </c>
      <c r="I540" s="196">
        <f>+ROUND((H540/$L$2),2)</f>
        <v>63755.13</v>
      </c>
      <c r="J540" s="467">
        <f>P542</f>
        <v>99468.460000000079</v>
      </c>
      <c r="L540" s="331" t="s">
        <v>1029</v>
      </c>
      <c r="M540" s="309"/>
      <c r="N540" s="352">
        <v>14700000</v>
      </c>
      <c r="O540" s="367">
        <v>39332</v>
      </c>
      <c r="P540" s="494">
        <v>2911.99</v>
      </c>
    </row>
    <row r="541" spans="1:18" s="76" customFormat="1" ht="18" customHeight="1" thickTop="1" thickBot="1" x14ac:dyDescent="0.3">
      <c r="A541" s="95"/>
      <c r="B541" s="110" t="s">
        <v>308</v>
      </c>
      <c r="C541" s="95"/>
      <c r="D541" s="95"/>
      <c r="E541" s="95"/>
      <c r="F541" s="95"/>
      <c r="G541" s="96"/>
      <c r="H541" s="96">
        <f>SUM(H536:H540)</f>
        <v>1472374216</v>
      </c>
      <c r="I541" s="454">
        <f>SUM(I536:I540)</f>
        <v>195417640.97999999</v>
      </c>
      <c r="J541" s="454">
        <f>SUM(J536:J540)</f>
        <v>19971053.740000002</v>
      </c>
      <c r="L541" s="486">
        <f>J541-'NOVČANI TOKOVI'!J10</f>
        <v>0</v>
      </c>
      <c r="M541" s="77"/>
      <c r="N541" s="355" t="s">
        <v>1030</v>
      </c>
      <c r="O541" s="356">
        <f>1620990129-1620859183</f>
        <v>130946</v>
      </c>
      <c r="P541" s="543">
        <f>2006923.6-1922500.27</f>
        <v>84423.330000000075</v>
      </c>
    </row>
    <row r="542" spans="1:18" ht="15" customHeight="1" thickTop="1" x14ac:dyDescent="0.25">
      <c r="A542" s="88"/>
      <c r="B542" s="273"/>
      <c r="C542" s="90"/>
      <c r="D542" s="90"/>
      <c r="E542" s="90"/>
      <c r="F542" s="90"/>
      <c r="G542" s="90"/>
      <c r="H542" s="75"/>
      <c r="I542" s="75"/>
      <c r="J542" s="75"/>
      <c r="L542" s="455">
        <f>H541/L2</f>
        <v>195417640.98480323</v>
      </c>
      <c r="O542" s="369">
        <f>SUM(O536:O541)</f>
        <v>480363</v>
      </c>
      <c r="P542" s="542">
        <f>SUM(P536:P541)</f>
        <v>99468.460000000079</v>
      </c>
    </row>
    <row r="543" spans="1:18" ht="20.25" customHeight="1" x14ac:dyDescent="0.25">
      <c r="A543" s="71" t="s">
        <v>757</v>
      </c>
      <c r="B543" s="731" t="s">
        <v>866</v>
      </c>
      <c r="C543" s="731"/>
      <c r="D543" s="731"/>
      <c r="E543" s="731"/>
      <c r="F543" s="731"/>
      <c r="G543" s="731"/>
      <c r="H543" s="731"/>
      <c r="I543" s="731"/>
      <c r="J543" s="731"/>
      <c r="N543" s="63"/>
    </row>
    <row r="544" spans="1:18" ht="15.75" customHeight="1" thickBot="1" x14ac:dyDescent="0.3">
      <c r="A544" s="71"/>
      <c r="B544" s="283"/>
      <c r="C544" s="287"/>
      <c r="D544" s="287"/>
      <c r="E544" s="287"/>
      <c r="F544" s="75"/>
      <c r="G544" s="75"/>
      <c r="H544" s="22" t="s">
        <v>171</v>
      </c>
      <c r="I544" s="22"/>
      <c r="J544" s="22" t="s">
        <v>1005</v>
      </c>
    </row>
    <row r="545" spans="1:14" ht="31.5" customHeight="1" thickTop="1" thickBot="1" x14ac:dyDescent="0.3">
      <c r="A545" s="79" t="s">
        <v>266</v>
      </c>
      <c r="B545" s="80" t="s">
        <v>265</v>
      </c>
      <c r="C545" s="81"/>
      <c r="D545" s="81"/>
      <c r="E545" s="81"/>
      <c r="F545" s="81"/>
      <c r="G545" s="81"/>
      <c r="H545" s="82" t="str">
        <f>H7</f>
        <v>2022.</v>
      </c>
      <c r="I545" s="82" t="str">
        <f>I7</f>
        <v>2022.</v>
      </c>
      <c r="J545" s="82" t="str">
        <f>J7</f>
        <v>2023.</v>
      </c>
      <c r="L545" s="314" t="s">
        <v>873</v>
      </c>
      <c r="N545" s="356"/>
    </row>
    <row r="546" spans="1:14" ht="15" customHeight="1" thickTop="1" x14ac:dyDescent="0.25">
      <c r="A546" s="88">
        <v>1</v>
      </c>
      <c r="B546" s="273" t="s">
        <v>297</v>
      </c>
      <c r="C546" s="90"/>
      <c r="D546" s="90"/>
      <c r="E546" s="90"/>
      <c r="F546" s="90"/>
      <c r="G546" s="90"/>
      <c r="H546" s="75">
        <v>-826971929</v>
      </c>
      <c r="I546" s="196">
        <f t="shared" ref="I546:I570" si="14">+ROUND((H546/$L$2),2)</f>
        <v>-109758036.90000001</v>
      </c>
      <c r="J546" s="196">
        <v>-141689732.97</v>
      </c>
      <c r="L546" s="331" t="s">
        <v>880</v>
      </c>
      <c r="M546" s="336"/>
    </row>
    <row r="547" spans="1:14" ht="15" customHeight="1" x14ac:dyDescent="0.25">
      <c r="A547" s="88">
        <v>2</v>
      </c>
      <c r="B547" s="273" t="s">
        <v>296</v>
      </c>
      <c r="C547" s="90"/>
      <c r="D547" s="90"/>
      <c r="E547" s="90"/>
      <c r="F547" s="90"/>
      <c r="G547" s="90"/>
      <c r="H547" s="75">
        <v>-1863471</v>
      </c>
      <c r="I547" s="196">
        <f t="shared" si="14"/>
        <v>-247325.1</v>
      </c>
      <c r="J547" s="196">
        <v>-353927.12</v>
      </c>
      <c r="L547" s="331" t="s">
        <v>882</v>
      </c>
    </row>
    <row r="548" spans="1:14" ht="15" customHeight="1" x14ac:dyDescent="0.25">
      <c r="A548" s="88">
        <v>3</v>
      </c>
      <c r="B548" s="274" t="s">
        <v>295</v>
      </c>
      <c r="C548" s="90"/>
      <c r="D548" s="90"/>
      <c r="E548" s="90"/>
      <c r="F548" s="90"/>
      <c r="G548" s="90"/>
      <c r="H548" s="75">
        <v>-953516</v>
      </c>
      <c r="I548" s="196">
        <f t="shared" si="14"/>
        <v>-126553.32</v>
      </c>
      <c r="J548" s="196">
        <v>-112793.14</v>
      </c>
      <c r="L548" s="331" t="s">
        <v>881</v>
      </c>
    </row>
    <row r="549" spans="1:14" ht="15" customHeight="1" x14ac:dyDescent="0.25">
      <c r="A549" s="88">
        <v>4</v>
      </c>
      <c r="B549" s="273" t="s">
        <v>719</v>
      </c>
      <c r="C549" s="90"/>
      <c r="D549" s="90"/>
      <c r="E549" s="90"/>
      <c r="F549" s="90"/>
      <c r="G549" s="90"/>
      <c r="H549" s="75">
        <v>-246946</v>
      </c>
      <c r="I549" s="196">
        <f t="shared" si="14"/>
        <v>-32775.370000000003</v>
      </c>
      <c r="J549" s="196">
        <v>-31117.119999999999</v>
      </c>
      <c r="L549" s="314" t="s">
        <v>868</v>
      </c>
    </row>
    <row r="550" spans="1:14" ht="15" customHeight="1" x14ac:dyDescent="0.25">
      <c r="A550" s="88">
        <v>5</v>
      </c>
      <c r="B550" s="274" t="s">
        <v>294</v>
      </c>
      <c r="C550" s="90"/>
      <c r="D550" s="90"/>
      <c r="E550" s="90"/>
      <c r="F550" s="90"/>
      <c r="G550" s="90"/>
      <c r="H550" s="75">
        <v>-15491459</v>
      </c>
      <c r="I550" s="196">
        <f t="shared" si="14"/>
        <v>-2056069.94</v>
      </c>
      <c r="J550" s="196">
        <v>-569351.93999999994</v>
      </c>
      <c r="L550" s="314" t="s">
        <v>720</v>
      </c>
    </row>
    <row r="551" spans="1:14" ht="15" customHeight="1" x14ac:dyDescent="0.25">
      <c r="A551" s="88">
        <v>6</v>
      </c>
      <c r="B551" s="273" t="s">
        <v>293</v>
      </c>
      <c r="C551" s="90"/>
      <c r="D551" s="90"/>
      <c r="E551" s="90"/>
      <c r="F551" s="90"/>
      <c r="G551" s="90"/>
      <c r="H551" s="75">
        <v>-11551850</v>
      </c>
      <c r="I551" s="196">
        <f t="shared" si="14"/>
        <v>-1533193.97</v>
      </c>
      <c r="J551" s="196">
        <v>-1476728.27</v>
      </c>
      <c r="L551" s="314" t="s">
        <v>721</v>
      </c>
    </row>
    <row r="552" spans="1:14" ht="15" customHeight="1" x14ac:dyDescent="0.25">
      <c r="A552" s="88">
        <v>7</v>
      </c>
      <c r="B552" s="273" t="s">
        <v>722</v>
      </c>
      <c r="C552" s="90"/>
      <c r="D552" s="90"/>
      <c r="E552" s="90"/>
      <c r="F552" s="90"/>
      <c r="G552" s="90"/>
      <c r="H552" s="75">
        <v>-11177961</v>
      </c>
      <c r="I552" s="196">
        <f t="shared" si="14"/>
        <v>-1483570.38</v>
      </c>
      <c r="J552" s="196">
        <v>-1500452.17</v>
      </c>
      <c r="L552" s="314" t="s">
        <v>723</v>
      </c>
    </row>
    <row r="553" spans="1:14" ht="15" customHeight="1" x14ac:dyDescent="0.25">
      <c r="A553" s="88">
        <v>8</v>
      </c>
      <c r="B553" s="273" t="s">
        <v>867</v>
      </c>
      <c r="C553" s="90"/>
      <c r="D553" s="90"/>
      <c r="E553" s="90"/>
      <c r="F553" s="90"/>
      <c r="G553" s="90"/>
      <c r="H553" s="75">
        <v>-1799388</v>
      </c>
      <c r="I553" s="196">
        <f t="shared" si="14"/>
        <v>-238819.83</v>
      </c>
      <c r="J553" s="196">
        <v>0</v>
      </c>
      <c r="L553" s="331" t="s">
        <v>921</v>
      </c>
    </row>
    <row r="554" spans="1:14" ht="15" customHeight="1" x14ac:dyDescent="0.25">
      <c r="A554" s="88">
        <v>9</v>
      </c>
      <c r="B554" s="273" t="s">
        <v>292</v>
      </c>
      <c r="C554" s="90"/>
      <c r="D554" s="90"/>
      <c r="E554" s="90"/>
      <c r="F554" s="90"/>
      <c r="G554" s="90"/>
      <c r="H554" s="75">
        <v>-303131257</v>
      </c>
      <c r="I554" s="196">
        <f t="shared" si="14"/>
        <v>-40232431.75</v>
      </c>
      <c r="J554" s="196">
        <v>0</v>
      </c>
      <c r="L554" s="314" t="s">
        <v>918</v>
      </c>
    </row>
    <row r="555" spans="1:14" ht="15" customHeight="1" x14ac:dyDescent="0.25">
      <c r="A555" s="88">
        <v>10</v>
      </c>
      <c r="B555" s="273" t="s">
        <v>291</v>
      </c>
      <c r="C555" s="90"/>
      <c r="D555" s="90"/>
      <c r="E555" s="90"/>
      <c r="F555" s="90"/>
      <c r="G555" s="90"/>
      <c r="H555" s="75">
        <v>-233406</v>
      </c>
      <c r="I555" s="196">
        <f t="shared" si="14"/>
        <v>-30978.3</v>
      </c>
      <c r="J555" s="196">
        <v>0</v>
      </c>
      <c r="L555" s="314" t="s">
        <v>724</v>
      </c>
    </row>
    <row r="556" spans="1:14" ht="15" customHeight="1" x14ac:dyDescent="0.25">
      <c r="A556" s="88">
        <v>11</v>
      </c>
      <c r="B556" s="273" t="s">
        <v>290</v>
      </c>
      <c r="C556" s="90"/>
      <c r="D556" s="90"/>
      <c r="E556" s="90"/>
      <c r="F556" s="90"/>
      <c r="G556" s="90"/>
      <c r="H556" s="75">
        <v>-8145000</v>
      </c>
      <c r="I556" s="196">
        <f t="shared" si="14"/>
        <v>-1081027.27</v>
      </c>
      <c r="J556" s="196">
        <v>-984640.3</v>
      </c>
      <c r="L556" s="314" t="s">
        <v>725</v>
      </c>
    </row>
    <row r="557" spans="1:14" ht="15" customHeight="1" x14ac:dyDescent="0.25">
      <c r="A557" s="88">
        <v>12</v>
      </c>
      <c r="B557" s="273" t="s">
        <v>289</v>
      </c>
      <c r="C557" s="90"/>
      <c r="D557" s="90"/>
      <c r="E557" s="90"/>
      <c r="F557" s="90"/>
      <c r="G557" s="90"/>
      <c r="H557" s="75">
        <v>-58576931</v>
      </c>
      <c r="I557" s="196">
        <f t="shared" si="14"/>
        <v>-7774494.79</v>
      </c>
      <c r="J557" s="196">
        <v>-7641427.54</v>
      </c>
      <c r="L557" s="314" t="s">
        <v>726</v>
      </c>
    </row>
    <row r="558" spans="1:14" ht="15" customHeight="1" x14ac:dyDescent="0.25">
      <c r="A558" s="88">
        <v>13</v>
      </c>
      <c r="B558" s="273" t="s">
        <v>288</v>
      </c>
      <c r="C558" s="90"/>
      <c r="D558" s="90"/>
      <c r="E558" s="90"/>
      <c r="F558" s="90"/>
      <c r="G558" s="90"/>
      <c r="H558" s="75">
        <v>-15518625</v>
      </c>
      <c r="I558" s="196">
        <f t="shared" si="14"/>
        <v>-2059675.49</v>
      </c>
      <c r="J558" s="196">
        <v>-2153444.9500000002</v>
      </c>
      <c r="L558" s="314" t="s">
        <v>727</v>
      </c>
    </row>
    <row r="559" spans="1:14" ht="15" customHeight="1" x14ac:dyDescent="0.25">
      <c r="A559" s="88">
        <v>14</v>
      </c>
      <c r="B559" s="273" t="s">
        <v>287</v>
      </c>
      <c r="C559" s="90"/>
      <c r="D559" s="90"/>
      <c r="E559" s="90"/>
      <c r="F559" s="90"/>
      <c r="G559" s="90"/>
      <c r="H559" s="75">
        <v>-3092483</v>
      </c>
      <c r="I559" s="196">
        <f t="shared" si="14"/>
        <v>-410443.03</v>
      </c>
      <c r="J559" s="196">
        <v>-860958.15</v>
      </c>
      <c r="L559" s="314" t="s">
        <v>728</v>
      </c>
    </row>
    <row r="560" spans="1:14" ht="15" customHeight="1" x14ac:dyDescent="0.25">
      <c r="A560" s="88">
        <v>15</v>
      </c>
      <c r="B560" s="273" t="s">
        <v>286</v>
      </c>
      <c r="C560" s="90"/>
      <c r="D560" s="90"/>
      <c r="E560" s="90"/>
      <c r="F560" s="90"/>
      <c r="G560" s="90"/>
      <c r="H560" s="75">
        <f>-184477-853080</f>
        <v>-1037557</v>
      </c>
      <c r="I560" s="196">
        <f t="shared" si="14"/>
        <v>-137707.48000000001</v>
      </c>
      <c r="J560" s="196">
        <f>-29558.35-111084.44</f>
        <v>-140642.79</v>
      </c>
      <c r="L560" s="741" t="s">
        <v>729</v>
      </c>
      <c r="M560" s="734"/>
    </row>
    <row r="561" spans="1:13" ht="15" customHeight="1" x14ac:dyDescent="0.25">
      <c r="A561" s="88">
        <v>16</v>
      </c>
      <c r="B561" s="273" t="s">
        <v>285</v>
      </c>
      <c r="C561" s="90"/>
      <c r="D561" s="90"/>
      <c r="E561" s="90"/>
      <c r="F561" s="90"/>
      <c r="G561" s="90"/>
      <c r="H561" s="75">
        <v>-3941441</v>
      </c>
      <c r="I561" s="196">
        <f t="shared" si="14"/>
        <v>-523119.12</v>
      </c>
      <c r="J561" s="196">
        <v>-1107521.74</v>
      </c>
      <c r="L561" s="314" t="s">
        <v>730</v>
      </c>
    </row>
    <row r="562" spans="1:13" ht="15" customHeight="1" x14ac:dyDescent="0.25">
      <c r="A562" s="88">
        <v>17</v>
      </c>
      <c r="B562" s="273" t="s">
        <v>284</v>
      </c>
      <c r="C562" s="90"/>
      <c r="D562" s="90"/>
      <c r="E562" s="90"/>
      <c r="F562" s="90"/>
      <c r="G562" s="90"/>
      <c r="H562" s="75">
        <f>-2802002-135242</f>
        <v>-2937244</v>
      </c>
      <c r="I562" s="196">
        <f t="shared" si="14"/>
        <v>-389839.27</v>
      </c>
      <c r="J562" s="196">
        <f>-430550.17-30462.39</f>
        <v>-461012.56</v>
      </c>
      <c r="L562" s="314" t="s">
        <v>731</v>
      </c>
    </row>
    <row r="563" spans="1:13" ht="15" hidden="1" customHeight="1" x14ac:dyDescent="0.25">
      <c r="A563" s="88">
        <v>18</v>
      </c>
      <c r="B563" s="273" t="s">
        <v>283</v>
      </c>
      <c r="C563" s="90"/>
      <c r="D563" s="90"/>
      <c r="E563" s="90"/>
      <c r="F563" s="90"/>
      <c r="G563" s="90"/>
      <c r="H563" s="75"/>
      <c r="I563" s="196">
        <f t="shared" si="14"/>
        <v>0</v>
      </c>
      <c r="J563" s="196"/>
      <c r="L563" s="314" t="s">
        <v>732</v>
      </c>
    </row>
    <row r="564" spans="1:13" ht="15" hidden="1" customHeight="1" x14ac:dyDescent="0.25">
      <c r="A564" s="88">
        <v>22</v>
      </c>
      <c r="B564" s="273" t="s">
        <v>733</v>
      </c>
      <c r="C564" s="90"/>
      <c r="D564" s="90"/>
      <c r="E564" s="90"/>
      <c r="F564" s="90"/>
      <c r="G564" s="90"/>
      <c r="H564" s="75"/>
      <c r="I564" s="196">
        <f t="shared" si="14"/>
        <v>0</v>
      </c>
      <c r="J564" s="196"/>
    </row>
    <row r="565" spans="1:13" ht="15" customHeight="1" x14ac:dyDescent="0.25">
      <c r="A565" s="88">
        <v>18</v>
      </c>
      <c r="B565" s="273" t="s">
        <v>734</v>
      </c>
      <c r="C565" s="90"/>
      <c r="D565" s="90"/>
      <c r="E565" s="90"/>
      <c r="F565" s="90"/>
      <c r="G565" s="90"/>
      <c r="H565" s="75">
        <v>-2405101</v>
      </c>
      <c r="I565" s="196">
        <f t="shared" si="14"/>
        <v>-319211.76</v>
      </c>
      <c r="J565" s="196">
        <v>-323475.45</v>
      </c>
      <c r="L565" s="314" t="s">
        <v>735</v>
      </c>
    </row>
    <row r="566" spans="1:13" ht="15" customHeight="1" x14ac:dyDescent="0.25">
      <c r="A566" s="88">
        <v>19</v>
      </c>
      <c r="B566" s="273" t="s">
        <v>736</v>
      </c>
      <c r="C566" s="90"/>
      <c r="D566" s="90"/>
      <c r="E566" s="90"/>
      <c r="F566" s="90"/>
      <c r="G566" s="90"/>
      <c r="H566" s="75">
        <v>-6306547</v>
      </c>
      <c r="I566" s="196">
        <f t="shared" si="14"/>
        <v>-837022.63</v>
      </c>
      <c r="J566" s="196">
        <v>-1590769.44</v>
      </c>
      <c r="L566" s="741" t="s">
        <v>737</v>
      </c>
      <c r="M566" s="734"/>
    </row>
    <row r="567" spans="1:13" ht="15" customHeight="1" x14ac:dyDescent="0.25">
      <c r="A567" s="88">
        <v>20</v>
      </c>
      <c r="B567" s="273" t="s">
        <v>738</v>
      </c>
      <c r="C567" s="90"/>
      <c r="D567" s="90"/>
      <c r="E567" s="90"/>
      <c r="F567" s="90"/>
      <c r="G567" s="90"/>
      <c r="H567" s="75">
        <v>-685501</v>
      </c>
      <c r="I567" s="196">
        <f t="shared" si="14"/>
        <v>-90981.62</v>
      </c>
      <c r="J567" s="196">
        <v>-79026.929999999993</v>
      </c>
      <c r="L567" s="741" t="s">
        <v>739</v>
      </c>
      <c r="M567" s="734"/>
    </row>
    <row r="568" spans="1:13" ht="15" customHeight="1" x14ac:dyDescent="0.25">
      <c r="A568" s="88">
        <v>21</v>
      </c>
      <c r="B568" s="273" t="s">
        <v>282</v>
      </c>
      <c r="C568" s="90"/>
      <c r="D568" s="90"/>
      <c r="E568" s="90"/>
      <c r="F568" s="90"/>
      <c r="G568" s="90"/>
      <c r="H568" s="75">
        <v>-107450148</v>
      </c>
      <c r="I568" s="196">
        <f t="shared" si="14"/>
        <v>-14261085.41</v>
      </c>
      <c r="J568" s="196">
        <v>-5270000</v>
      </c>
      <c r="L568" s="314" t="s">
        <v>740</v>
      </c>
    </row>
    <row r="569" spans="1:13" ht="15" customHeight="1" x14ac:dyDescent="0.25">
      <c r="A569" s="88">
        <v>22</v>
      </c>
      <c r="B569" s="358" t="s">
        <v>917</v>
      </c>
      <c r="C569" s="229"/>
      <c r="D569" s="229"/>
      <c r="E569" s="90"/>
      <c r="F569" s="90"/>
      <c r="G569" s="90"/>
      <c r="H569" s="75">
        <v>-4593451</v>
      </c>
      <c r="I569" s="196">
        <f t="shared" si="14"/>
        <v>-609655.72</v>
      </c>
      <c r="J569" s="196">
        <v>-1784547.94</v>
      </c>
      <c r="L569" s="314" t="s">
        <v>919</v>
      </c>
    </row>
    <row r="570" spans="1:13" ht="15" customHeight="1" thickBot="1" x14ac:dyDescent="0.3">
      <c r="A570" s="91">
        <v>23</v>
      </c>
      <c r="B570" s="275" t="s">
        <v>281</v>
      </c>
      <c r="C570" s="93"/>
      <c r="D570" s="93"/>
      <c r="E570" s="93"/>
      <c r="F570" s="93"/>
      <c r="G570" s="93"/>
      <c r="H570" s="94">
        <v>-2802549</v>
      </c>
      <c r="I570" s="196">
        <f t="shared" si="14"/>
        <v>-371962.17</v>
      </c>
      <c r="J570" s="452">
        <v>-589907.93999999994</v>
      </c>
      <c r="L570" s="314" t="s">
        <v>1040</v>
      </c>
    </row>
    <row r="571" spans="1:13" ht="18" customHeight="1" thickTop="1" thickBot="1" x14ac:dyDescent="0.3">
      <c r="A571" s="95"/>
      <c r="B571" s="110" t="s">
        <v>920</v>
      </c>
      <c r="C571" s="95"/>
      <c r="D571" s="95"/>
      <c r="E571" s="95"/>
      <c r="F571" s="95"/>
      <c r="G571" s="96"/>
      <c r="H571" s="96">
        <f>SUM(H546:H570)</f>
        <v>-1390913761</v>
      </c>
      <c r="I571" s="454">
        <f>SUM(I546:I570)</f>
        <v>-184605980.62</v>
      </c>
      <c r="J571" s="454">
        <f>SUM(J546:J570)</f>
        <v>-168721478.45999998</v>
      </c>
      <c r="L571" s="486">
        <f>J571-'NOVČANI TOKOVI'!J17</f>
        <v>0</v>
      </c>
    </row>
    <row r="572" spans="1:13" ht="18" customHeight="1" thickTop="1" x14ac:dyDescent="0.25">
      <c r="A572" s="65"/>
      <c r="B572" s="111"/>
      <c r="C572" s="97"/>
      <c r="D572" s="97"/>
      <c r="E572" s="97"/>
      <c r="F572" s="97"/>
      <c r="G572" s="97"/>
      <c r="H572" s="449"/>
      <c r="I572" s="449"/>
      <c r="J572" s="97"/>
      <c r="L572" s="455">
        <f>H571/L2</f>
        <v>-184605980.62246996</v>
      </c>
    </row>
    <row r="573" spans="1:13" ht="20.25" customHeight="1" x14ac:dyDescent="0.25">
      <c r="A573" s="71" t="s">
        <v>760</v>
      </c>
      <c r="B573" s="74" t="s">
        <v>742</v>
      </c>
      <c r="C573" s="97"/>
      <c r="D573" s="107"/>
      <c r="E573" s="83"/>
      <c r="F573" s="83"/>
      <c r="G573" s="83"/>
    </row>
    <row r="574" spans="1:13" ht="15.75" customHeight="1" thickBot="1" x14ac:dyDescent="0.3">
      <c r="A574" s="71"/>
      <c r="B574" s="74"/>
      <c r="C574" s="97"/>
      <c r="D574" s="107"/>
      <c r="E574" s="83"/>
      <c r="F574" s="83"/>
      <c r="G574" s="83"/>
      <c r="H574" s="22" t="s">
        <v>171</v>
      </c>
      <c r="I574" s="22"/>
      <c r="J574" s="22" t="s">
        <v>1005</v>
      </c>
    </row>
    <row r="575" spans="1:13" ht="31.5" customHeight="1" thickTop="1" thickBot="1" x14ac:dyDescent="0.3">
      <c r="A575" s="79" t="s">
        <v>266</v>
      </c>
      <c r="B575" s="80" t="s">
        <v>265</v>
      </c>
      <c r="C575" s="81"/>
      <c r="D575" s="81"/>
      <c r="E575" s="81"/>
      <c r="F575" s="81"/>
      <c r="G575" s="81"/>
      <c r="H575" s="82" t="str">
        <f>H7</f>
        <v>2022.</v>
      </c>
      <c r="I575" s="82" t="str">
        <f>I7</f>
        <v>2022.</v>
      </c>
      <c r="J575" s="82" t="str">
        <f>J7</f>
        <v>2023.</v>
      </c>
      <c r="L575" s="314" t="s">
        <v>883</v>
      </c>
    </row>
    <row r="576" spans="1:13" ht="20.25" customHeight="1" thickTop="1" thickBot="1" x14ac:dyDescent="0.3">
      <c r="A576" s="88">
        <v>1</v>
      </c>
      <c r="B576" s="276" t="s">
        <v>743</v>
      </c>
      <c r="C576" s="277"/>
      <c r="D576" s="277"/>
      <c r="E576" s="90"/>
      <c r="F576" s="90"/>
      <c r="G576" s="90"/>
      <c r="H576" s="75">
        <f>666517249+4068008</f>
        <v>670585257</v>
      </c>
      <c r="I576" s="196">
        <f>+ROUND((H576/$L$2),2)</f>
        <v>89001958.590000004</v>
      </c>
      <c r="J576" s="196">
        <f>10481300.44+621861.12</f>
        <v>11103161.559999999</v>
      </c>
      <c r="L576" s="331" t="s">
        <v>885</v>
      </c>
      <c r="M576" s="51"/>
    </row>
    <row r="577" spans="1:12" ht="15" hidden="1" customHeight="1" thickBot="1" x14ac:dyDescent="0.3">
      <c r="A577" s="88">
        <v>2</v>
      </c>
      <c r="B577" s="767" t="s">
        <v>744</v>
      </c>
      <c r="C577" s="760"/>
      <c r="D577" s="760"/>
      <c r="E577" s="90"/>
      <c r="F577" s="90"/>
      <c r="G577" s="90"/>
      <c r="H577" s="75"/>
      <c r="I577" s="196"/>
      <c r="J577" s="196"/>
      <c r="L577" s="314">
        <v>26200000</v>
      </c>
    </row>
    <row r="578" spans="1:12" ht="18" customHeight="1" thickTop="1" thickBot="1" x14ac:dyDescent="0.3">
      <c r="A578" s="95"/>
      <c r="B578" s="95" t="s">
        <v>854</v>
      </c>
      <c r="C578" s="95"/>
      <c r="D578" s="95"/>
      <c r="E578" s="95"/>
      <c r="F578" s="95"/>
      <c r="G578" s="96"/>
      <c r="H578" s="96">
        <f>SUM(H576:H577)</f>
        <v>670585257</v>
      </c>
      <c r="I578" s="454">
        <f>SUM(I576:I577)</f>
        <v>89001958.590000004</v>
      </c>
      <c r="J578" s="454">
        <f>SUM(J576:J577)</f>
        <v>11103161.559999999</v>
      </c>
      <c r="L578" s="455">
        <f>J578-'NOVČANI TOKOVI'!J24</f>
        <v>0</v>
      </c>
    </row>
    <row r="579" spans="1:12" ht="18" customHeight="1" thickTop="1" x14ac:dyDescent="0.25">
      <c r="A579" s="100"/>
      <c r="B579" s="100"/>
      <c r="C579" s="100"/>
      <c r="D579" s="100"/>
      <c r="E579" s="100"/>
      <c r="F579" s="100"/>
      <c r="G579" s="112"/>
      <c r="H579" s="112"/>
      <c r="I579" s="112"/>
      <c r="J579" s="112"/>
      <c r="L579" s="455"/>
    </row>
    <row r="580" spans="1:12" ht="21.75" customHeight="1" x14ac:dyDescent="0.25">
      <c r="A580" s="71" t="s">
        <v>762</v>
      </c>
      <c r="B580" s="305" t="s">
        <v>888</v>
      </c>
      <c r="C580" s="306"/>
      <c r="D580" s="107"/>
      <c r="E580" s="83"/>
      <c r="F580" s="83"/>
      <c r="G580" s="83"/>
    </row>
    <row r="581" spans="1:12" ht="15.75" thickBot="1" x14ac:dyDescent="0.3">
      <c r="A581" s="71"/>
      <c r="B581" s="305"/>
      <c r="C581" s="306"/>
      <c r="D581" s="107"/>
      <c r="E581" s="83"/>
      <c r="F581" s="83"/>
      <c r="G581" s="83"/>
      <c r="H581" s="22" t="s">
        <v>171</v>
      </c>
      <c r="I581" s="22"/>
      <c r="J581" s="22" t="s">
        <v>1005</v>
      </c>
    </row>
    <row r="582" spans="1:12" ht="31.5" customHeight="1" thickTop="1" thickBot="1" x14ac:dyDescent="0.3">
      <c r="A582" s="79" t="s">
        <v>266</v>
      </c>
      <c r="B582" s="80" t="s">
        <v>265</v>
      </c>
      <c r="C582" s="81"/>
      <c r="D582" s="81"/>
      <c r="E582" s="81"/>
      <c r="F582" s="81"/>
      <c r="G582" s="81"/>
      <c r="H582" s="82" t="str">
        <f>H7</f>
        <v>2022.</v>
      </c>
      <c r="I582" s="82" t="str">
        <f>I7</f>
        <v>2022.</v>
      </c>
      <c r="J582" s="82" t="str">
        <f>J7</f>
        <v>2023.</v>
      </c>
      <c r="L582" s="314" t="s">
        <v>883</v>
      </c>
    </row>
    <row r="583" spans="1:12" ht="21" customHeight="1" thickTop="1" thickBot="1" x14ac:dyDescent="0.3">
      <c r="A583" s="84">
        <v>1</v>
      </c>
      <c r="B583" s="761" t="s">
        <v>879</v>
      </c>
      <c r="C583" s="759"/>
      <c r="D583" s="759"/>
      <c r="E583" s="759"/>
      <c r="F583" s="759"/>
      <c r="G583" s="86"/>
      <c r="H583" s="87">
        <v>938593890</v>
      </c>
      <c r="I583" s="196">
        <f>+ROUND((H583/$L$2),2)</f>
        <v>124572817.04000001</v>
      </c>
      <c r="J583" s="451">
        <v>55384604.420000002</v>
      </c>
      <c r="L583" s="314" t="s">
        <v>878</v>
      </c>
    </row>
    <row r="584" spans="1:12" ht="18" customHeight="1" thickTop="1" thickBot="1" x14ac:dyDescent="0.3">
      <c r="A584" s="95"/>
      <c r="B584" s="110" t="s">
        <v>854</v>
      </c>
      <c r="C584" s="95"/>
      <c r="D584" s="95"/>
      <c r="E584" s="95"/>
      <c r="F584" s="95"/>
      <c r="G584" s="96"/>
      <c r="H584" s="96">
        <f>SUM(H583:H583)</f>
        <v>938593890</v>
      </c>
      <c r="I584" s="454">
        <f>SUM(I583:I583)</f>
        <v>124572817.04000001</v>
      </c>
      <c r="J584" s="454">
        <f>SUM(J583:J583)</f>
        <v>55384604.420000002</v>
      </c>
      <c r="L584" s="455">
        <f>J584-'NOVČANI TOKOVI'!J25</f>
        <v>0</v>
      </c>
    </row>
    <row r="585" spans="1:12" ht="18" customHeight="1" thickTop="1" x14ac:dyDescent="0.25">
      <c r="A585" s="100"/>
      <c r="B585" s="100"/>
      <c r="C585" s="100"/>
      <c r="D585" s="100"/>
      <c r="E585" s="100"/>
      <c r="F585" s="100"/>
      <c r="G585" s="112"/>
      <c r="H585" s="112"/>
      <c r="I585" s="112"/>
      <c r="J585" s="112"/>
      <c r="L585" s="455"/>
    </row>
    <row r="586" spans="1:12" ht="21" customHeight="1" x14ac:dyDescent="0.25">
      <c r="A586" s="71" t="s">
        <v>990</v>
      </c>
      <c r="B586" s="74" t="s">
        <v>746</v>
      </c>
      <c r="C586" s="97"/>
      <c r="D586" s="107"/>
      <c r="E586" s="83"/>
      <c r="F586" s="83"/>
      <c r="G586" s="83"/>
    </row>
    <row r="587" spans="1:12" ht="15.75" customHeight="1" thickBot="1" x14ac:dyDescent="0.3">
      <c r="A587" s="71"/>
      <c r="B587" s="74"/>
      <c r="C587" s="97"/>
      <c r="D587" s="107"/>
      <c r="E587" s="83"/>
      <c r="F587" s="83"/>
      <c r="G587" s="83"/>
      <c r="H587" s="22" t="s">
        <v>171</v>
      </c>
      <c r="I587" s="22"/>
      <c r="J587" s="22" t="s">
        <v>1005</v>
      </c>
    </row>
    <row r="588" spans="1:12" ht="31.5" customHeight="1" thickTop="1" thickBot="1" x14ac:dyDescent="0.3">
      <c r="A588" s="79" t="s">
        <v>266</v>
      </c>
      <c r="B588" s="80" t="s">
        <v>265</v>
      </c>
      <c r="C588" s="81"/>
      <c r="D588" s="81"/>
      <c r="E588" s="81"/>
      <c r="F588" s="81"/>
      <c r="G588" s="81"/>
      <c r="H588" s="82" t="str">
        <f>H7</f>
        <v>2022.</v>
      </c>
      <c r="I588" s="82" t="str">
        <f>I7</f>
        <v>2022.</v>
      </c>
      <c r="J588" s="82" t="str">
        <f>J7</f>
        <v>2023.</v>
      </c>
      <c r="L588" s="314" t="s">
        <v>883</v>
      </c>
    </row>
    <row r="589" spans="1:12" ht="16.5" customHeight="1" thickTop="1" thickBot="1" x14ac:dyDescent="0.3">
      <c r="A589" s="88">
        <v>1</v>
      </c>
      <c r="B589" s="126" t="s">
        <v>280</v>
      </c>
      <c r="C589" s="277"/>
      <c r="D589" s="277"/>
      <c r="E589" s="90"/>
      <c r="F589" s="90"/>
      <c r="G589" s="90"/>
      <c r="H589" s="75">
        <v>5121599</v>
      </c>
      <c r="I589" s="196">
        <f>+ROUND((H589/$L$2),2)</f>
        <v>679753</v>
      </c>
      <c r="J589" s="196">
        <v>1013255.2</v>
      </c>
      <c r="L589" s="314">
        <v>29006</v>
      </c>
    </row>
    <row r="590" spans="1:12" ht="18" customHeight="1" thickTop="1" thickBot="1" x14ac:dyDescent="0.3">
      <c r="A590" s="95"/>
      <c r="B590" s="95" t="s">
        <v>854</v>
      </c>
      <c r="C590" s="95"/>
      <c r="D590" s="95"/>
      <c r="E590" s="95"/>
      <c r="F590" s="95"/>
      <c r="G590" s="96"/>
      <c r="H590" s="96">
        <f>SUM(H589:H589)</f>
        <v>5121599</v>
      </c>
      <c r="I590" s="454">
        <f>SUM(I589:I589)</f>
        <v>679753</v>
      </c>
      <c r="J590" s="454">
        <f>SUM(J589:J589)</f>
        <v>1013255.2</v>
      </c>
      <c r="L590" s="455">
        <f>J590-'NOVČANI TOKOVI'!J26</f>
        <v>0</v>
      </c>
    </row>
    <row r="591" spans="1:12" ht="18" customHeight="1" thickTop="1" x14ac:dyDescent="0.25">
      <c r="A591" s="100"/>
      <c r="B591" s="100"/>
      <c r="C591" s="100"/>
      <c r="D591" s="100"/>
      <c r="E591" s="100"/>
      <c r="F591" s="100"/>
      <c r="G591" s="112"/>
      <c r="H591" s="112"/>
      <c r="I591" s="112"/>
      <c r="J591" s="112"/>
      <c r="L591" s="455"/>
    </row>
    <row r="592" spans="1:12" ht="20.25" customHeight="1" x14ac:dyDescent="0.25">
      <c r="A592" s="71" t="s">
        <v>870</v>
      </c>
      <c r="B592" s="74" t="s">
        <v>748</v>
      </c>
      <c r="C592" s="97"/>
      <c r="D592" s="107"/>
      <c r="E592" s="83"/>
      <c r="F592" s="83"/>
      <c r="G592" s="83"/>
    </row>
    <row r="593" spans="1:12" ht="15.75" customHeight="1" thickBot="1" x14ac:dyDescent="0.3">
      <c r="A593" s="71"/>
      <c r="B593" s="74"/>
      <c r="C593" s="97"/>
      <c r="D593" s="107"/>
      <c r="E593" s="83"/>
      <c r="F593" s="83"/>
      <c r="G593" s="83"/>
      <c r="H593" s="22" t="s">
        <v>171</v>
      </c>
      <c r="I593" s="22"/>
      <c r="J593" s="22" t="s">
        <v>1005</v>
      </c>
    </row>
    <row r="594" spans="1:12" ht="31.5" customHeight="1" thickTop="1" thickBot="1" x14ac:dyDescent="0.3">
      <c r="A594" s="79" t="s">
        <v>266</v>
      </c>
      <c r="B594" s="80" t="s">
        <v>265</v>
      </c>
      <c r="C594" s="81"/>
      <c r="D594" s="81"/>
      <c r="E594" s="81"/>
      <c r="F594" s="81"/>
      <c r="G594" s="81"/>
      <c r="H594" s="82" t="str">
        <f>H7</f>
        <v>2022.</v>
      </c>
      <c r="I594" s="82" t="str">
        <f>I7</f>
        <v>2022.</v>
      </c>
      <c r="J594" s="82" t="str">
        <f>J7</f>
        <v>2023.</v>
      </c>
      <c r="L594" s="331" t="s">
        <v>1033</v>
      </c>
    </row>
    <row r="595" spans="1:12" ht="16.5" customHeight="1" thickTop="1" x14ac:dyDescent="0.25">
      <c r="A595" s="84">
        <v>1</v>
      </c>
      <c r="B595" s="151" t="s">
        <v>279</v>
      </c>
      <c r="C595" s="85"/>
      <c r="D595" s="85"/>
      <c r="E595" s="86"/>
      <c r="F595" s="86"/>
      <c r="G595" s="86"/>
      <c r="H595" s="87">
        <v>-63695706</v>
      </c>
      <c r="I595" s="196">
        <f>+ROUND((H595/$L$2),2)</f>
        <v>-8453872.9800000004</v>
      </c>
      <c r="J595" s="451">
        <v>-8862805.5199999996</v>
      </c>
    </row>
    <row r="596" spans="1:12" ht="16.5" hidden="1" customHeight="1" x14ac:dyDescent="0.25">
      <c r="A596" s="88">
        <v>2</v>
      </c>
      <c r="B596" s="153" t="s">
        <v>278</v>
      </c>
      <c r="C596" s="89"/>
      <c r="D596" s="89"/>
      <c r="E596" s="90"/>
      <c r="F596" s="90"/>
      <c r="G596" s="90"/>
      <c r="H596" s="75"/>
      <c r="I596" s="196">
        <f>+ROUND((H596/$L$2),2)</f>
        <v>0</v>
      </c>
      <c r="J596" s="196"/>
    </row>
    <row r="597" spans="1:12" ht="16.5" customHeight="1" x14ac:dyDescent="0.25">
      <c r="A597" s="88">
        <v>2</v>
      </c>
      <c r="B597" s="153" t="s">
        <v>277</v>
      </c>
      <c r="C597" s="89"/>
      <c r="D597" s="89"/>
      <c r="E597" s="90"/>
      <c r="F597" s="90"/>
      <c r="G597" s="90"/>
      <c r="H597" s="75">
        <v>-70798667</v>
      </c>
      <c r="I597" s="196">
        <f>+ROUND((H597/$L$2),2)</f>
        <v>-9396597.9199999999</v>
      </c>
      <c r="J597" s="196">
        <v>-5939441.0099999998</v>
      </c>
    </row>
    <row r="598" spans="1:12" ht="16.5" customHeight="1" thickBot="1" x14ac:dyDescent="0.3">
      <c r="A598" s="91">
        <v>3</v>
      </c>
      <c r="B598" s="159" t="s">
        <v>922</v>
      </c>
      <c r="C598" s="92"/>
      <c r="D598" s="92"/>
      <c r="E598" s="93"/>
      <c r="F598" s="93"/>
      <c r="G598" s="93"/>
      <c r="H598" s="94">
        <f>-107621-395946144-1377279</f>
        <v>-397431044</v>
      </c>
      <c r="I598" s="196">
        <f>+ROUND((H598/$L$2),2)</f>
        <v>-52748164.310000002</v>
      </c>
      <c r="J598" s="452">
        <f>-61207632.28-15023.9-32918.39</f>
        <v>-61255574.57</v>
      </c>
    </row>
    <row r="599" spans="1:12" ht="18" customHeight="1" thickTop="1" thickBot="1" x14ac:dyDescent="0.3">
      <c r="A599" s="95"/>
      <c r="B599" s="110" t="s">
        <v>270</v>
      </c>
      <c r="C599" s="95"/>
      <c r="D599" s="95"/>
      <c r="E599" s="95"/>
      <c r="F599" s="95"/>
      <c r="G599" s="96"/>
      <c r="H599" s="96">
        <f>SUM(H595:H598)</f>
        <v>-531925417</v>
      </c>
      <c r="I599" s="454">
        <f>SUM(I595:I598)</f>
        <v>-70598635.210000008</v>
      </c>
      <c r="J599" s="454">
        <f>SUM(J595:J598)</f>
        <v>-76057821.099999994</v>
      </c>
      <c r="L599" s="455">
        <f>J599-'NOVČANI TOKOVI'!J28</f>
        <v>0</v>
      </c>
    </row>
    <row r="600" spans="1:12" ht="18" customHeight="1" thickTop="1" x14ac:dyDescent="0.25">
      <c r="A600" s="65"/>
      <c r="B600" s="111"/>
      <c r="C600" s="97"/>
      <c r="D600" s="97"/>
      <c r="E600" s="97"/>
      <c r="F600" s="97"/>
      <c r="G600" s="97"/>
      <c r="H600" s="449"/>
      <c r="I600" s="449"/>
      <c r="J600" s="97"/>
      <c r="L600" s="455">
        <f>H599/L2</f>
        <v>-70598635.211361066</v>
      </c>
    </row>
    <row r="601" spans="1:12" ht="21.75" customHeight="1" x14ac:dyDescent="0.25">
      <c r="A601" s="71" t="s">
        <v>871</v>
      </c>
      <c r="B601" s="74" t="s">
        <v>750</v>
      </c>
      <c r="C601" s="97"/>
      <c r="D601" s="107"/>
      <c r="E601" s="83"/>
      <c r="F601" s="83"/>
      <c r="G601" s="83"/>
    </row>
    <row r="602" spans="1:12" ht="15.75" thickBot="1" x14ac:dyDescent="0.3">
      <c r="A602" s="71"/>
      <c r="B602" s="74"/>
      <c r="C602" s="97"/>
      <c r="D602" s="107"/>
      <c r="E602" s="83"/>
      <c r="F602" s="83"/>
      <c r="G602" s="83"/>
      <c r="H602" s="22" t="s">
        <v>171</v>
      </c>
      <c r="I602" s="22"/>
      <c r="J602" s="22" t="s">
        <v>1005</v>
      </c>
    </row>
    <row r="603" spans="1:12" ht="31.5" customHeight="1" thickTop="1" thickBot="1" x14ac:dyDescent="0.3">
      <c r="A603" s="79" t="s">
        <v>266</v>
      </c>
      <c r="B603" s="80" t="s">
        <v>265</v>
      </c>
      <c r="C603" s="81"/>
      <c r="D603" s="81"/>
      <c r="E603" s="81"/>
      <c r="F603" s="81"/>
      <c r="G603" s="81"/>
      <c r="H603" s="82" t="str">
        <f>H7</f>
        <v>2022.</v>
      </c>
      <c r="I603" s="82" t="str">
        <f>I7</f>
        <v>2022.</v>
      </c>
      <c r="J603" s="82" t="str">
        <f>J7</f>
        <v>2023.</v>
      </c>
      <c r="L603" s="314" t="s">
        <v>873</v>
      </c>
    </row>
    <row r="604" spans="1:12" ht="21" customHeight="1" thickTop="1" thickBot="1" x14ac:dyDescent="0.3">
      <c r="A604" s="84">
        <v>1</v>
      </c>
      <c r="B604" s="761" t="s">
        <v>869</v>
      </c>
      <c r="C604" s="759"/>
      <c r="D604" s="759"/>
      <c r="E604" s="759"/>
      <c r="F604" s="759"/>
      <c r="G604" s="86"/>
      <c r="H604" s="87">
        <v>-741669292</v>
      </c>
      <c r="I604" s="196">
        <f>+ROUND((H604/$L$2),2)</f>
        <v>-98436431.349999994</v>
      </c>
      <c r="J604" s="451">
        <v>-5735740.54</v>
      </c>
      <c r="L604" s="314" t="s">
        <v>878</v>
      </c>
    </row>
    <row r="605" spans="1:12" ht="18" customHeight="1" thickTop="1" thickBot="1" x14ac:dyDescent="0.3">
      <c r="A605" s="95"/>
      <c r="B605" s="110" t="s">
        <v>854</v>
      </c>
      <c r="C605" s="95"/>
      <c r="D605" s="95"/>
      <c r="E605" s="95"/>
      <c r="F605" s="95"/>
      <c r="G605" s="96"/>
      <c r="H605" s="96">
        <f>SUM(H604:H604)</f>
        <v>-741669292</v>
      </c>
      <c r="I605" s="454">
        <f>SUM(I604:I604)</f>
        <v>-98436431.349999994</v>
      </c>
      <c r="J605" s="454">
        <f>SUM(J604:J604)</f>
        <v>-5735740.54</v>
      </c>
      <c r="L605" s="455">
        <f>J605-'NOVČANI TOKOVI'!J30</f>
        <v>0</v>
      </c>
    </row>
    <row r="606" spans="1:12" ht="18.75" customHeight="1" thickTop="1" x14ac:dyDescent="0.25">
      <c r="A606" s="65"/>
      <c r="B606" s="111"/>
      <c r="C606" s="97"/>
      <c r="D606" s="97"/>
      <c r="E606" s="97"/>
      <c r="F606" s="97"/>
      <c r="G606" s="97"/>
      <c r="H606" s="449"/>
      <c r="I606" s="449"/>
      <c r="J606" s="97"/>
    </row>
    <row r="607" spans="1:12" ht="20.25" customHeight="1" x14ac:dyDescent="0.25">
      <c r="A607" s="71" t="s">
        <v>1044</v>
      </c>
      <c r="B607" s="74" t="s">
        <v>751</v>
      </c>
      <c r="C607" s="97"/>
      <c r="D607" s="107"/>
      <c r="E607" s="83"/>
      <c r="F607" s="83"/>
      <c r="G607" s="83"/>
    </row>
    <row r="608" spans="1:12" ht="15.75" customHeight="1" thickBot="1" x14ac:dyDescent="0.3">
      <c r="A608" s="71"/>
      <c r="B608" s="74"/>
      <c r="C608" s="97"/>
      <c r="D608" s="107"/>
      <c r="E608" s="83"/>
      <c r="F608" s="83"/>
      <c r="G608" s="83"/>
      <c r="H608" s="22" t="s">
        <v>171</v>
      </c>
      <c r="I608" s="22"/>
      <c r="J608" s="22" t="s">
        <v>1005</v>
      </c>
    </row>
    <row r="609" spans="1:15" ht="31.5" customHeight="1" thickTop="1" thickBot="1" x14ac:dyDescent="0.3">
      <c r="A609" s="79" t="s">
        <v>266</v>
      </c>
      <c r="B609" s="80" t="s">
        <v>265</v>
      </c>
      <c r="C609" s="81"/>
      <c r="D609" s="81"/>
      <c r="E609" s="81"/>
      <c r="F609" s="81"/>
      <c r="G609" s="81"/>
      <c r="H609" s="82" t="str">
        <f>H7</f>
        <v>2022.</v>
      </c>
      <c r="I609" s="82" t="str">
        <f>I7</f>
        <v>2022.</v>
      </c>
      <c r="J609" s="82" t="str">
        <f>J7</f>
        <v>2023.</v>
      </c>
      <c r="L609" s="314" t="s">
        <v>873</v>
      </c>
    </row>
    <row r="610" spans="1:15" ht="17.25" customHeight="1" thickTop="1" x14ac:dyDescent="0.25">
      <c r="A610" s="84">
        <v>1</v>
      </c>
      <c r="B610" s="151" t="s">
        <v>752</v>
      </c>
      <c r="C610" s="85"/>
      <c r="D610" s="85"/>
      <c r="E610" s="86"/>
      <c r="F610" s="86"/>
      <c r="G610" s="86"/>
      <c r="H610" s="87"/>
      <c r="I610" s="87"/>
      <c r="J610" s="87">
        <v>-70777200</v>
      </c>
      <c r="L610" s="537" t="s">
        <v>923</v>
      </c>
    </row>
    <row r="611" spans="1:15" s="64" customFormat="1" ht="17.25" hidden="1" customHeight="1" x14ac:dyDescent="0.25">
      <c r="A611" s="88">
        <v>2</v>
      </c>
      <c r="B611" s="153" t="s">
        <v>276</v>
      </c>
      <c r="C611" s="89"/>
      <c r="D611" s="89"/>
      <c r="E611" s="90"/>
      <c r="F611" s="90"/>
      <c r="G611" s="90"/>
      <c r="H611" s="75"/>
      <c r="I611" s="75"/>
      <c r="J611" s="75"/>
      <c r="K611" s="63"/>
      <c r="L611" s="314"/>
      <c r="O611" s="63"/>
    </row>
    <row r="612" spans="1:15" s="64" customFormat="1" ht="17.25" customHeight="1" x14ac:dyDescent="0.25">
      <c r="A612" s="88">
        <v>2</v>
      </c>
      <c r="B612" s="153" t="s">
        <v>753</v>
      </c>
      <c r="C612" s="89"/>
      <c r="D612" s="89"/>
      <c r="E612" s="90"/>
      <c r="F612" s="90"/>
      <c r="G612" s="90"/>
      <c r="H612" s="75">
        <v>-104532200</v>
      </c>
      <c r="I612" s="196">
        <f>+ROUND((H612/$L$2),2)</f>
        <v>-13873807.15</v>
      </c>
      <c r="J612" s="196"/>
      <c r="K612" s="63"/>
      <c r="L612" s="321" t="s">
        <v>923</v>
      </c>
      <c r="O612" s="63"/>
    </row>
    <row r="613" spans="1:15" s="64" customFormat="1" ht="17.25" customHeight="1" x14ac:dyDescent="0.25">
      <c r="A613" s="88">
        <v>3</v>
      </c>
      <c r="B613" s="153" t="s">
        <v>274</v>
      </c>
      <c r="C613" s="89"/>
      <c r="D613" s="89"/>
      <c r="E613" s="90"/>
      <c r="F613" s="90"/>
      <c r="G613" s="90"/>
      <c r="H613" s="75">
        <v>-3599460</v>
      </c>
      <c r="I613" s="196">
        <f>+ROUND((H613/$L$2),2)</f>
        <v>-477730.44</v>
      </c>
      <c r="J613" s="196"/>
      <c r="K613" s="63"/>
      <c r="L613" s="331" t="s">
        <v>876</v>
      </c>
      <c r="O613" s="63"/>
    </row>
    <row r="614" spans="1:15" s="64" customFormat="1" ht="17.25" hidden="1" customHeight="1" x14ac:dyDescent="0.25">
      <c r="A614" s="88">
        <v>5</v>
      </c>
      <c r="B614" s="153" t="s">
        <v>273</v>
      </c>
      <c r="C614" s="89"/>
      <c r="D614" s="89"/>
      <c r="E614" s="90"/>
      <c r="F614" s="90"/>
      <c r="G614" s="90"/>
      <c r="H614" s="75"/>
      <c r="I614" s="196">
        <f>H614/$L$2</f>
        <v>0</v>
      </c>
      <c r="J614" s="196"/>
      <c r="K614" s="63"/>
      <c r="L614" s="314"/>
      <c r="O614" s="63"/>
    </row>
    <row r="615" spans="1:15" s="64" customFormat="1" ht="17.25" customHeight="1" x14ac:dyDescent="0.25">
      <c r="A615" s="88">
        <v>4</v>
      </c>
      <c r="B615" s="153" t="s">
        <v>754</v>
      </c>
      <c r="C615" s="89"/>
      <c r="D615" s="532"/>
      <c r="E615" s="90"/>
      <c r="F615" s="90"/>
      <c r="G615" s="90"/>
      <c r="H615" s="75"/>
      <c r="I615" s="196">
        <f>H615/$L$2</f>
        <v>0</v>
      </c>
      <c r="J615" s="196">
        <v>-3261630</v>
      </c>
      <c r="K615" s="63"/>
      <c r="L615" s="537" t="s">
        <v>1035</v>
      </c>
      <c r="O615" s="63"/>
    </row>
    <row r="616" spans="1:15" s="64" customFormat="1" ht="17.25" customHeight="1" thickBot="1" x14ac:dyDescent="0.3">
      <c r="A616" s="88">
        <v>5</v>
      </c>
      <c r="B616" s="532" t="s">
        <v>1034</v>
      </c>
      <c r="C616" s="534"/>
      <c r="D616" s="534"/>
      <c r="E616" s="90"/>
      <c r="F616" s="90"/>
      <c r="G616" s="90"/>
      <c r="H616" s="75"/>
      <c r="I616" s="196"/>
      <c r="J616" s="196">
        <v>-53107160</v>
      </c>
      <c r="K616" s="63"/>
      <c r="L616" s="537" t="s">
        <v>923</v>
      </c>
      <c r="O616" s="63"/>
    </row>
    <row r="617" spans="1:15" s="64" customFormat="1" ht="17.25" hidden="1" customHeight="1" thickBot="1" x14ac:dyDescent="0.3">
      <c r="A617" s="88">
        <v>2</v>
      </c>
      <c r="B617" s="153" t="s">
        <v>275</v>
      </c>
      <c r="C617" s="89"/>
      <c r="D617" s="89"/>
      <c r="E617" s="90"/>
      <c r="F617" s="90"/>
      <c r="G617" s="90"/>
      <c r="H617" s="75"/>
      <c r="I617" s="196">
        <f>H617/$L$2</f>
        <v>0</v>
      </c>
      <c r="J617" s="196"/>
      <c r="K617" s="63"/>
      <c r="L617" s="314"/>
      <c r="O617" s="63"/>
    </row>
    <row r="618" spans="1:15" s="64" customFormat="1" ht="17.25" hidden="1" customHeight="1" x14ac:dyDescent="0.25">
      <c r="A618" s="88">
        <v>3</v>
      </c>
      <c r="B618" s="153" t="s">
        <v>755</v>
      </c>
      <c r="C618" s="89"/>
      <c r="D618" s="89"/>
      <c r="E618" s="90"/>
      <c r="F618" s="90"/>
      <c r="G618" s="90"/>
      <c r="H618" s="75"/>
      <c r="I618" s="196"/>
      <c r="J618" s="196"/>
      <c r="K618" s="63"/>
      <c r="L618" s="331" t="s">
        <v>877</v>
      </c>
      <c r="O618" s="63"/>
    </row>
    <row r="619" spans="1:15" s="64" customFormat="1" ht="17.25" hidden="1" customHeight="1" thickBot="1" x14ac:dyDescent="0.3">
      <c r="A619" s="91">
        <v>4</v>
      </c>
      <c r="B619" s="153" t="s">
        <v>756</v>
      </c>
      <c r="C619" s="89"/>
      <c r="D619" s="89"/>
      <c r="E619" s="93"/>
      <c r="F619" s="93"/>
      <c r="G619" s="93"/>
      <c r="H619" s="94"/>
      <c r="I619" s="452"/>
      <c r="J619" s="452"/>
      <c r="K619" s="63"/>
      <c r="L619" s="314"/>
      <c r="O619" s="63"/>
    </row>
    <row r="620" spans="1:15" s="64" customFormat="1" ht="18" customHeight="1" thickTop="1" thickBot="1" x14ac:dyDescent="0.3">
      <c r="A620" s="95"/>
      <c r="B620" s="110" t="s">
        <v>308</v>
      </c>
      <c r="C620" s="95"/>
      <c r="D620" s="95"/>
      <c r="E620" s="95"/>
      <c r="F620" s="95"/>
      <c r="G620" s="96"/>
      <c r="H620" s="96">
        <f>SUM(H610:H619)</f>
        <v>-108131660</v>
      </c>
      <c r="I620" s="454">
        <f>SUM(I610:I619)</f>
        <v>-14351537.59</v>
      </c>
      <c r="J620" s="454">
        <f>SUM(J610:J619)</f>
        <v>-127145990</v>
      </c>
      <c r="K620" s="63"/>
      <c r="L620" s="455">
        <f>J620-'NOVČANI TOKOVI'!J32</f>
        <v>0</v>
      </c>
      <c r="O620" s="63"/>
    </row>
    <row r="621" spans="1:15" s="64" customFormat="1" ht="18" customHeight="1" thickTop="1" x14ac:dyDescent="0.25">
      <c r="A621" s="65"/>
      <c r="B621" s="111"/>
      <c r="C621" s="97"/>
      <c r="D621" s="97"/>
      <c r="E621" s="97"/>
      <c r="F621" s="97"/>
      <c r="G621" s="97"/>
      <c r="H621" s="449"/>
      <c r="I621" s="449"/>
      <c r="J621" s="97"/>
      <c r="K621" s="63"/>
      <c r="L621" s="488">
        <f>H620/L2</f>
        <v>-14351537.593735483</v>
      </c>
      <c r="M621" s="445"/>
      <c r="O621" s="63"/>
    </row>
    <row r="622" spans="1:15" s="64" customFormat="1" ht="21" customHeight="1" x14ac:dyDescent="0.25">
      <c r="A622" s="71" t="s">
        <v>1045</v>
      </c>
      <c r="B622" s="74" t="s">
        <v>887</v>
      </c>
      <c r="C622" s="97"/>
      <c r="D622" s="107"/>
      <c r="E622" s="83"/>
      <c r="F622" s="83"/>
      <c r="G622" s="83"/>
      <c r="H622" s="63"/>
      <c r="I622" s="63"/>
      <c r="J622" s="63"/>
      <c r="K622" s="63"/>
      <c r="L622" s="314"/>
      <c r="O622" s="63"/>
    </row>
    <row r="623" spans="1:15" s="64" customFormat="1" ht="15.75" thickBot="1" x14ac:dyDescent="0.3">
      <c r="A623" s="71"/>
      <c r="B623" s="74"/>
      <c r="C623" s="97"/>
      <c r="D623" s="107"/>
      <c r="E623" s="83"/>
      <c r="F623" s="83"/>
      <c r="G623" s="83"/>
      <c r="H623" s="22" t="s">
        <v>171</v>
      </c>
      <c r="I623" s="22"/>
      <c r="J623" s="22" t="s">
        <v>1005</v>
      </c>
      <c r="K623" s="63"/>
      <c r="L623" s="314"/>
      <c r="O623" s="63"/>
    </row>
    <row r="624" spans="1:15" s="64" customFormat="1" ht="32.25" customHeight="1" thickTop="1" thickBot="1" x14ac:dyDescent="0.3">
      <c r="A624" s="79" t="s">
        <v>266</v>
      </c>
      <c r="B624" s="80" t="s">
        <v>265</v>
      </c>
      <c r="C624" s="81"/>
      <c r="D624" s="81"/>
      <c r="E624" s="81"/>
      <c r="F624" s="81"/>
      <c r="G624" s="81"/>
      <c r="H624" s="82" t="str">
        <f>H7</f>
        <v>2022.</v>
      </c>
      <c r="I624" s="82" t="str">
        <f>I7</f>
        <v>2022.</v>
      </c>
      <c r="J624" s="82" t="str">
        <f>J7</f>
        <v>2023.</v>
      </c>
      <c r="K624" s="63"/>
      <c r="L624" s="314" t="s">
        <v>883</v>
      </c>
      <c r="O624" s="63"/>
    </row>
    <row r="625" spans="1:15" s="64" customFormat="1" ht="16.5" customHeight="1" thickTop="1" x14ac:dyDescent="0.25">
      <c r="A625" s="84">
        <v>1</v>
      </c>
      <c r="B625" s="359" t="s">
        <v>931</v>
      </c>
      <c r="C625" s="85"/>
      <c r="D625" s="85"/>
      <c r="E625" s="86"/>
      <c r="F625" s="86"/>
      <c r="G625" s="86"/>
      <c r="H625" s="87">
        <v>87312855</v>
      </c>
      <c r="I625" s="196">
        <f t="shared" ref="I625:I630" si="15">+ROUND((H625/$L$2),2)</f>
        <v>11588407.33</v>
      </c>
      <c r="J625" s="451">
        <v>17979258.649999999</v>
      </c>
      <c r="K625" s="63"/>
      <c r="L625" s="314">
        <v>9440</v>
      </c>
      <c r="O625" s="63"/>
    </row>
    <row r="626" spans="1:15" s="64" customFormat="1" ht="16.5" customHeight="1" x14ac:dyDescent="0.25">
      <c r="A626" s="88">
        <v>2</v>
      </c>
      <c r="B626" s="357" t="s">
        <v>932</v>
      </c>
      <c r="C626" s="284"/>
      <c r="D626" s="284"/>
      <c r="E626" s="90"/>
      <c r="F626" s="90"/>
      <c r="G626" s="90"/>
      <c r="H626" s="75">
        <v>39487522</v>
      </c>
      <c r="I626" s="196">
        <f t="shared" si="15"/>
        <v>5240894.82</v>
      </c>
      <c r="J626" s="196">
        <v>8240108.3300000001</v>
      </c>
      <c r="K626" s="63"/>
      <c r="L626" s="314">
        <v>9440</v>
      </c>
      <c r="O626" s="63"/>
    </row>
    <row r="627" spans="1:15" s="64" customFormat="1" ht="16.5" customHeight="1" x14ac:dyDescent="0.25">
      <c r="A627" s="310">
        <v>3</v>
      </c>
      <c r="B627" s="357" t="s">
        <v>924</v>
      </c>
      <c r="C627" s="346"/>
      <c r="D627" s="346"/>
      <c r="E627" s="90"/>
      <c r="F627" s="90"/>
      <c r="G627" s="90"/>
      <c r="H627" s="75">
        <v>476960022</v>
      </c>
      <c r="I627" s="196">
        <f t="shared" si="15"/>
        <v>63303473.619999997</v>
      </c>
      <c r="J627" s="196"/>
      <c r="K627" s="63"/>
      <c r="L627" s="314">
        <v>9440</v>
      </c>
      <c r="O627" s="63"/>
    </row>
    <row r="628" spans="1:15" s="64" customFormat="1" ht="16.5" customHeight="1" x14ac:dyDescent="0.25">
      <c r="A628" s="360">
        <v>4</v>
      </c>
      <c r="B628" s="357" t="s">
        <v>925</v>
      </c>
      <c r="C628" s="346"/>
      <c r="D628" s="346"/>
      <c r="E628" s="90"/>
      <c r="F628" s="90"/>
      <c r="G628" s="90"/>
      <c r="H628" s="75">
        <v>1014000000</v>
      </c>
      <c r="I628" s="196">
        <f t="shared" si="15"/>
        <v>134580927.72999999</v>
      </c>
      <c r="K628" s="63"/>
      <c r="L628" s="314">
        <v>9431</v>
      </c>
      <c r="O628" s="63"/>
    </row>
    <row r="629" spans="1:15" s="64" customFormat="1" ht="16.5" customHeight="1" x14ac:dyDescent="0.25">
      <c r="A629" s="310">
        <v>5</v>
      </c>
      <c r="B629" s="357" t="s">
        <v>926</v>
      </c>
      <c r="C629" s="346"/>
      <c r="D629" s="346"/>
      <c r="E629" s="90"/>
      <c r="F629" s="90"/>
      <c r="G629" s="90"/>
      <c r="H629" s="75">
        <v>4061710260</v>
      </c>
      <c r="I629" s="196">
        <f t="shared" si="15"/>
        <v>539081592.66999996</v>
      </c>
      <c r="J629" s="196">
        <v>60000000</v>
      </c>
      <c r="K629" s="63"/>
      <c r="L629" s="314">
        <v>9431</v>
      </c>
      <c r="O629" s="63"/>
    </row>
    <row r="630" spans="1:15" s="64" customFormat="1" ht="16.5" customHeight="1" x14ac:dyDescent="0.25">
      <c r="A630" s="360">
        <v>6</v>
      </c>
      <c r="B630" s="357" t="s">
        <v>927</v>
      </c>
      <c r="C630" s="346"/>
      <c r="D630" s="346"/>
      <c r="E630" s="90"/>
      <c r="F630" s="90"/>
      <c r="G630" s="90"/>
      <c r="H630" s="75">
        <v>2212066501</v>
      </c>
      <c r="I630" s="196">
        <f t="shared" si="15"/>
        <v>293591678.41000003</v>
      </c>
      <c r="J630" s="196"/>
      <c r="K630" s="63"/>
      <c r="L630" s="314">
        <v>9431</v>
      </c>
      <c r="O630" s="63"/>
    </row>
    <row r="631" spans="1:15" s="64" customFormat="1" ht="16.5" customHeight="1" x14ac:dyDescent="0.25">
      <c r="A631" s="360">
        <v>7</v>
      </c>
      <c r="B631" s="357" t="s">
        <v>1039</v>
      </c>
      <c r="C631" s="534"/>
      <c r="D631" s="534"/>
      <c r="E631" s="90"/>
      <c r="F631" s="90"/>
      <c r="G631" s="90"/>
      <c r="H631" s="75"/>
      <c r="I631" s="196"/>
      <c r="J631" s="196">
        <v>150000000</v>
      </c>
      <c r="K631" s="63"/>
      <c r="L631" s="535">
        <v>9431</v>
      </c>
      <c r="O631" s="63"/>
    </row>
    <row r="632" spans="1:15" s="64" customFormat="1" ht="16.5" customHeight="1" x14ac:dyDescent="0.25">
      <c r="A632" s="310">
        <v>8</v>
      </c>
      <c r="B632" s="357" t="s">
        <v>928</v>
      </c>
      <c r="C632" s="346"/>
      <c r="D632" s="346"/>
      <c r="E632" s="90"/>
      <c r="F632" s="90"/>
      <c r="G632" s="90"/>
      <c r="H632" s="75">
        <v>929000000</v>
      </c>
      <c r="I632" s="196">
        <f>+ROUND((H632/$L$2),2)</f>
        <v>123299489.02</v>
      </c>
      <c r="J632" s="196"/>
      <c r="K632" s="63"/>
      <c r="L632" s="314">
        <v>9431</v>
      </c>
      <c r="O632" s="63"/>
    </row>
    <row r="633" spans="1:15" s="64" customFormat="1" ht="16.5" customHeight="1" x14ac:dyDescent="0.25">
      <c r="A633" s="360">
        <v>9</v>
      </c>
      <c r="B633" s="357" t="s">
        <v>929</v>
      </c>
      <c r="C633" s="346"/>
      <c r="D633" s="346"/>
      <c r="E633" s="90"/>
      <c r="F633" s="90"/>
      <c r="G633" s="90"/>
      <c r="H633" s="75">
        <v>385000000</v>
      </c>
      <c r="I633" s="196">
        <f>+ROUND((H633/$L$2),2)</f>
        <v>51098281.240000002</v>
      </c>
      <c r="J633" s="196"/>
      <c r="K633" s="63"/>
      <c r="L633" s="314">
        <v>9431</v>
      </c>
      <c r="O633" s="63"/>
    </row>
    <row r="634" spans="1:15" s="64" customFormat="1" ht="16.5" customHeight="1" x14ac:dyDescent="0.25">
      <c r="A634" s="310">
        <v>10</v>
      </c>
      <c r="B634" s="357" t="s">
        <v>930</v>
      </c>
      <c r="C634" s="534"/>
      <c r="D634" s="534"/>
      <c r="E634" s="90"/>
      <c r="F634" s="90"/>
      <c r="G634" s="90"/>
      <c r="H634" s="75">
        <v>1314000000</v>
      </c>
      <c r="I634" s="196">
        <f>+ROUND((H634/$L$2),2)</f>
        <v>174397770.25999999</v>
      </c>
      <c r="J634" s="196"/>
      <c r="K634" s="63"/>
      <c r="L634" s="314">
        <v>9431</v>
      </c>
      <c r="O634" s="63"/>
    </row>
    <row r="635" spans="1:15" s="64" customFormat="1" ht="16.5" customHeight="1" x14ac:dyDescent="0.25">
      <c r="A635" s="310">
        <v>11</v>
      </c>
      <c r="B635" s="357" t="s">
        <v>1037</v>
      </c>
      <c r="C635" s="534"/>
      <c r="D635" s="534"/>
      <c r="E635" s="90"/>
      <c r="F635" s="90"/>
      <c r="G635" s="90"/>
      <c r="H635" s="75"/>
      <c r="I635" s="196"/>
      <c r="J635" s="196">
        <v>100000000</v>
      </c>
      <c r="K635" s="63"/>
      <c r="L635" s="535">
        <v>9431</v>
      </c>
      <c r="O635" s="63"/>
    </row>
    <row r="636" spans="1:15" s="64" customFormat="1" ht="16.5" customHeight="1" x14ac:dyDescent="0.25">
      <c r="A636" s="310">
        <v>12</v>
      </c>
      <c r="B636" s="563" t="s">
        <v>1036</v>
      </c>
      <c r="C636" s="571"/>
      <c r="D636" s="571"/>
      <c r="E636" s="90"/>
      <c r="F636" s="90"/>
      <c r="G636" s="90"/>
      <c r="H636" s="75"/>
      <c r="I636" s="196"/>
      <c r="J636" s="196">
        <v>400000000</v>
      </c>
      <c r="K636" s="63"/>
      <c r="L636" s="535">
        <v>945</v>
      </c>
      <c r="O636" s="63"/>
    </row>
    <row r="637" spans="1:15" s="64" customFormat="1" ht="16.5" customHeight="1" thickBot="1" x14ac:dyDescent="0.3">
      <c r="A637" s="310">
        <v>13</v>
      </c>
      <c r="B637" s="357" t="s">
        <v>1038</v>
      </c>
      <c r="C637" s="536"/>
      <c r="D637" s="536"/>
      <c r="E637" s="93"/>
      <c r="F637" s="93"/>
      <c r="G637" s="93"/>
      <c r="H637" s="94"/>
      <c r="I637" s="196"/>
      <c r="J637" s="452">
        <v>75000000</v>
      </c>
      <c r="K637" s="63"/>
      <c r="L637" s="535">
        <v>2459</v>
      </c>
      <c r="O637" s="63"/>
    </row>
    <row r="638" spans="1:15" s="64" customFormat="1" ht="16.5" customHeight="1" thickTop="1" thickBot="1" x14ac:dyDescent="0.3">
      <c r="A638" s="95"/>
      <c r="B638" s="110" t="s">
        <v>437</v>
      </c>
      <c r="C638" s="95"/>
      <c r="D638" s="95"/>
      <c r="E638" s="95"/>
      <c r="F638" s="95"/>
      <c r="G638" s="96"/>
      <c r="H638" s="96">
        <f>SUM(H625:H634)</f>
        <v>10519537160</v>
      </c>
      <c r="I638" s="454">
        <f>SUM(I625:I634)</f>
        <v>1396182515.0999999</v>
      </c>
      <c r="J638" s="454">
        <f>SUM(J625:J637)</f>
        <v>811219366.98000002</v>
      </c>
      <c r="K638" s="63"/>
      <c r="L638" s="455">
        <f>J638-'NOVČANI TOKOVI'!J38</f>
        <v>0</v>
      </c>
      <c r="O638" s="63"/>
    </row>
    <row r="639" spans="1:15" s="64" customFormat="1" ht="16.5" customHeight="1" thickTop="1" x14ac:dyDescent="0.25">
      <c r="A639" s="100"/>
      <c r="B639" s="278"/>
      <c r="C639" s="100"/>
      <c r="D639" s="100"/>
      <c r="E639" s="100"/>
      <c r="F639" s="100"/>
      <c r="G639" s="112"/>
      <c r="H639" s="112"/>
      <c r="I639" s="112"/>
      <c r="J639" s="112"/>
      <c r="K639" s="63"/>
      <c r="L639" s="489">
        <f>H638/L2</f>
        <v>1396182515.0972195</v>
      </c>
      <c r="O639" s="63"/>
    </row>
    <row r="640" spans="1:15" ht="16.5" customHeight="1" x14ac:dyDescent="0.25">
      <c r="A640" s="71" t="s">
        <v>1046</v>
      </c>
      <c r="B640" s="74" t="s">
        <v>886</v>
      </c>
      <c r="C640" s="97"/>
      <c r="D640" s="107"/>
      <c r="E640" s="83"/>
      <c r="F640" s="83"/>
      <c r="G640" s="83"/>
    </row>
    <row r="641" spans="1:12" ht="16.5" customHeight="1" thickBot="1" x14ac:dyDescent="0.3">
      <c r="A641" s="71"/>
      <c r="B641" s="74"/>
      <c r="C641" s="97"/>
      <c r="D641" s="107"/>
      <c r="E641" s="83"/>
      <c r="F641" s="83"/>
      <c r="G641" s="83"/>
      <c r="H641" s="22" t="s">
        <v>171</v>
      </c>
      <c r="I641" s="22"/>
      <c r="J641" s="22" t="s">
        <v>1005</v>
      </c>
    </row>
    <row r="642" spans="1:12" ht="16.5" customHeight="1" thickTop="1" thickBot="1" x14ac:dyDescent="0.3">
      <c r="A642" s="79" t="s">
        <v>266</v>
      </c>
      <c r="B642" s="80" t="s">
        <v>265</v>
      </c>
      <c r="C642" s="81"/>
      <c r="D642" s="81"/>
      <c r="E642" s="81"/>
      <c r="F642" s="81"/>
      <c r="G642" s="81"/>
      <c r="H642" s="82" t="str">
        <f>H7</f>
        <v>2022.</v>
      </c>
      <c r="I642" s="82" t="str">
        <f>I7</f>
        <v>2022.</v>
      </c>
      <c r="J642" s="82" t="str">
        <f>J7</f>
        <v>2023.</v>
      </c>
      <c r="L642" s="314" t="s">
        <v>883</v>
      </c>
    </row>
    <row r="643" spans="1:12" ht="16.5" customHeight="1" thickTop="1" x14ac:dyDescent="0.25">
      <c r="A643" s="84">
        <v>1</v>
      </c>
      <c r="B643" s="151" t="s">
        <v>271</v>
      </c>
      <c r="C643" s="85"/>
      <c r="D643" s="85"/>
      <c r="E643" s="86"/>
      <c r="F643" s="86"/>
      <c r="G643" s="86"/>
      <c r="H643" s="87">
        <v>23822216</v>
      </c>
      <c r="I643" s="196">
        <f>+ROUND((H643/$L$2),2)</f>
        <v>3161751.41</v>
      </c>
      <c r="J643" s="451">
        <v>100000</v>
      </c>
      <c r="L643" s="331" t="s">
        <v>875</v>
      </c>
    </row>
    <row r="644" spans="1:12" ht="16.5" customHeight="1" thickBot="1" x14ac:dyDescent="0.3">
      <c r="A644" s="279">
        <v>2</v>
      </c>
      <c r="B644" s="92" t="s">
        <v>761</v>
      </c>
      <c r="C644" s="92"/>
      <c r="D644" s="92"/>
      <c r="E644" s="128"/>
      <c r="F644" s="128"/>
      <c r="G644" s="128"/>
      <c r="H644" s="280">
        <v>161235874</v>
      </c>
      <c r="I644" s="196">
        <f>+ROUND((H644/$L$2),2)</f>
        <v>21399678.010000002</v>
      </c>
      <c r="J644" s="490"/>
      <c r="L644" s="331" t="s">
        <v>874</v>
      </c>
    </row>
    <row r="645" spans="1:12" ht="18" customHeight="1" thickTop="1" thickBot="1" x14ac:dyDescent="0.3">
      <c r="A645" s="110"/>
      <c r="B645" s="110" t="s">
        <v>272</v>
      </c>
      <c r="C645" s="110"/>
      <c r="D645" s="110"/>
      <c r="E645" s="110"/>
      <c r="F645" s="110"/>
      <c r="G645" s="253"/>
      <c r="H645" s="253">
        <f>SUM(H643:H644)</f>
        <v>185058090</v>
      </c>
      <c r="I645" s="491">
        <f>SUM(I643:I644)</f>
        <v>24561429.420000002</v>
      </c>
      <c r="J645" s="491">
        <f>SUM(J643:J644)</f>
        <v>100000</v>
      </c>
      <c r="L645" s="455">
        <f>J645-'NOVČANI TOKOVI'!J39</f>
        <v>0</v>
      </c>
    </row>
    <row r="646" spans="1:12" ht="18" customHeight="1" thickTop="1" x14ac:dyDescent="0.25">
      <c r="A646" s="65"/>
      <c r="B646" s="111"/>
      <c r="C646" s="97"/>
      <c r="D646" s="97"/>
      <c r="E646" s="97"/>
      <c r="F646" s="97"/>
      <c r="G646" s="97"/>
      <c r="H646" s="449"/>
      <c r="I646" s="449"/>
      <c r="J646" s="97"/>
      <c r="L646" s="455">
        <f>H645/L2</f>
        <v>24561429.424646623</v>
      </c>
    </row>
    <row r="647" spans="1:12" ht="29.25" customHeight="1" x14ac:dyDescent="0.25">
      <c r="A647" s="616" t="s">
        <v>1120</v>
      </c>
      <c r="B647" s="764" t="s">
        <v>763</v>
      </c>
      <c r="C647" s="764"/>
      <c r="D647" s="764"/>
      <c r="E647" s="764"/>
      <c r="F647" s="764"/>
      <c r="G647" s="764"/>
      <c r="H647" s="764"/>
      <c r="I647" s="764"/>
      <c r="J647" s="764"/>
      <c r="K647" s="764"/>
      <c r="L647" s="764"/>
    </row>
    <row r="648" spans="1:12" ht="15.75" customHeight="1" thickBot="1" x14ac:dyDescent="0.3">
      <c r="A648" s="71"/>
      <c r="B648" s="74"/>
      <c r="C648" s="97"/>
      <c r="D648" s="107"/>
      <c r="E648" s="83"/>
      <c r="F648" s="83"/>
      <c r="G648" s="83"/>
      <c r="H648" s="22" t="s">
        <v>171</v>
      </c>
      <c r="I648" s="22"/>
      <c r="J648" s="22" t="s">
        <v>1005</v>
      </c>
    </row>
    <row r="649" spans="1:12" ht="31.5" customHeight="1" thickTop="1" thickBot="1" x14ac:dyDescent="0.3">
      <c r="A649" s="79" t="s">
        <v>266</v>
      </c>
      <c r="B649" s="80" t="s">
        <v>265</v>
      </c>
      <c r="C649" s="81"/>
      <c r="D649" s="81"/>
      <c r="E649" s="81"/>
      <c r="F649" s="81"/>
      <c r="G649" s="81"/>
      <c r="H649" s="82" t="str">
        <f>H7</f>
        <v>2022.</v>
      </c>
      <c r="I649" s="82" t="str">
        <f>I7</f>
        <v>2022.</v>
      </c>
      <c r="J649" s="82" t="str">
        <f>J7</f>
        <v>2023.</v>
      </c>
      <c r="L649" s="314" t="s">
        <v>873</v>
      </c>
    </row>
    <row r="650" spans="1:12" ht="15" customHeight="1" thickTop="1" x14ac:dyDescent="0.25">
      <c r="A650" s="84">
        <v>1</v>
      </c>
      <c r="B650" s="151" t="s">
        <v>758</v>
      </c>
      <c r="C650" s="85"/>
      <c r="D650" s="85"/>
      <c r="E650" s="86"/>
      <c r="F650" s="86"/>
      <c r="G650" s="86"/>
      <c r="H650" s="87">
        <v>-39941860</v>
      </c>
      <c r="I650" s="196">
        <f t="shared" ref="I650:I655" si="16">+ROUND((H650/$L$2),2)</f>
        <v>-5301195.83</v>
      </c>
      <c r="J650" s="451">
        <v>-7046620.3399999999</v>
      </c>
      <c r="L650" s="314">
        <v>94400</v>
      </c>
    </row>
    <row r="651" spans="1:12" ht="15" customHeight="1" x14ac:dyDescent="0.25">
      <c r="A651" s="88">
        <v>2</v>
      </c>
      <c r="B651" s="153" t="s">
        <v>759</v>
      </c>
      <c r="C651" s="89"/>
      <c r="D651" s="89"/>
      <c r="E651" s="90"/>
      <c r="F651" s="90"/>
      <c r="G651" s="90"/>
      <c r="H651" s="75">
        <v>-2018651</v>
      </c>
      <c r="I651" s="196">
        <f t="shared" si="16"/>
        <v>-267921.03000000003</v>
      </c>
      <c r="J651" s="196">
        <v>-773078.48</v>
      </c>
      <c r="L651" s="314">
        <v>94400</v>
      </c>
    </row>
    <row r="652" spans="1:12" ht="15" customHeight="1" x14ac:dyDescent="0.25">
      <c r="A652" s="88">
        <v>3</v>
      </c>
      <c r="B652" s="153" t="s">
        <v>269</v>
      </c>
      <c r="C652" s="89"/>
      <c r="D652" s="89"/>
      <c r="E652" s="90"/>
      <c r="F652" s="90"/>
      <c r="G652" s="90"/>
      <c r="H652" s="75">
        <v>-34229816</v>
      </c>
      <c r="I652" s="196">
        <f t="shared" si="16"/>
        <v>-4543077.3099999996</v>
      </c>
      <c r="J652" s="196">
        <v>-4545153.03</v>
      </c>
      <c r="L652" s="331" t="s">
        <v>933</v>
      </c>
    </row>
    <row r="653" spans="1:12" ht="15" customHeight="1" x14ac:dyDescent="0.25">
      <c r="A653" s="88">
        <v>4</v>
      </c>
      <c r="B653" s="153" t="s">
        <v>268</v>
      </c>
      <c r="C653" s="89"/>
      <c r="D653" s="89"/>
      <c r="E653" s="90"/>
      <c r="F653" s="90"/>
      <c r="G653" s="90"/>
      <c r="H653" s="75">
        <v>-2487250</v>
      </c>
      <c r="I653" s="196">
        <f t="shared" si="16"/>
        <v>-330114.81</v>
      </c>
      <c r="J653" s="196">
        <v>-330265.57</v>
      </c>
      <c r="L653" s="331" t="s">
        <v>934</v>
      </c>
    </row>
    <row r="654" spans="1:12" ht="15" customHeight="1" x14ac:dyDescent="0.25">
      <c r="A654" s="88">
        <v>5</v>
      </c>
      <c r="B654" s="357" t="s">
        <v>935</v>
      </c>
      <c r="C654" s="346"/>
      <c r="D654" s="346"/>
      <c r="E654" s="90"/>
      <c r="F654" s="90"/>
      <c r="G654" s="90"/>
      <c r="H654" s="357">
        <v>-3652677790</v>
      </c>
      <c r="I654" s="196">
        <f t="shared" si="16"/>
        <v>-484793654.51999998</v>
      </c>
      <c r="J654" s="492"/>
      <c r="L654" s="331" t="s">
        <v>936</v>
      </c>
    </row>
    <row r="655" spans="1:12" ht="15" customHeight="1" x14ac:dyDescent="0.25">
      <c r="A655" s="88">
        <v>6</v>
      </c>
      <c r="B655" s="361" t="s">
        <v>1000</v>
      </c>
      <c r="C655" s="346"/>
      <c r="D655" s="346"/>
      <c r="E655" s="90"/>
      <c r="F655" s="90"/>
      <c r="G655" s="90"/>
      <c r="H655" s="357">
        <v>227707729</v>
      </c>
      <c r="I655" s="196">
        <f t="shared" si="16"/>
        <v>30222009.289999999</v>
      </c>
      <c r="J655" s="492"/>
      <c r="L655" s="331" t="s">
        <v>1001</v>
      </c>
    </row>
    <row r="656" spans="1:12" ht="15" hidden="1" customHeight="1" thickBot="1" x14ac:dyDescent="0.3">
      <c r="A656" s="91">
        <v>7</v>
      </c>
      <c r="B656" s="570" t="s">
        <v>267</v>
      </c>
      <c r="C656" s="92"/>
      <c r="D656" s="92"/>
      <c r="E656" s="93"/>
      <c r="F656" s="93"/>
      <c r="G656" s="93"/>
      <c r="H656" s="94"/>
      <c r="I656" s="452"/>
      <c r="J656" s="452"/>
      <c r="L656" s="331" t="s">
        <v>682</v>
      </c>
    </row>
    <row r="657" spans="1:15" ht="15" customHeight="1" thickBot="1" x14ac:dyDescent="0.3">
      <c r="A657" s="533">
        <v>7</v>
      </c>
      <c r="B657" s="596" t="s">
        <v>929</v>
      </c>
      <c r="C657" s="536"/>
      <c r="D657" s="536"/>
      <c r="E657" s="93"/>
      <c r="F657" s="93"/>
      <c r="G657" s="93"/>
      <c r="H657" s="94"/>
      <c r="I657" s="452"/>
      <c r="J657" s="452">
        <v>-6387285.1600000001</v>
      </c>
      <c r="L657" s="535">
        <v>9431</v>
      </c>
    </row>
    <row r="658" spans="1:15" ht="18" customHeight="1" thickTop="1" thickBot="1" x14ac:dyDescent="0.3">
      <c r="A658" s="95"/>
      <c r="B658" s="95" t="s">
        <v>542</v>
      </c>
      <c r="C658" s="95"/>
      <c r="D658" s="95"/>
      <c r="E658" s="95"/>
      <c r="F658" s="95"/>
      <c r="G658" s="96"/>
      <c r="H658" s="96">
        <f>SUM(H650:H656)</f>
        <v>-3503647638</v>
      </c>
      <c r="I658" s="454">
        <f>SUM(I650:I656)</f>
        <v>-465013954.20999998</v>
      </c>
      <c r="J658" s="454">
        <f>SUM(J650:J657)</f>
        <v>-19082402.580000002</v>
      </c>
      <c r="L658" s="455">
        <f>J658-'NOVČANI TOKOVI'!J41</f>
        <v>0</v>
      </c>
    </row>
    <row r="659" spans="1:15" ht="18" customHeight="1" thickTop="1" x14ac:dyDescent="0.25">
      <c r="A659" s="65"/>
      <c r="B659" s="97"/>
      <c r="C659" s="97"/>
      <c r="D659" s="97"/>
      <c r="E659" s="97"/>
      <c r="F659" s="97"/>
      <c r="G659" s="97"/>
      <c r="H659" s="449"/>
      <c r="I659" s="449"/>
      <c r="J659" s="97"/>
      <c r="L659" s="455">
        <f>H658/L2</f>
        <v>-465013954.21063107</v>
      </c>
    </row>
    <row r="660" spans="1:15" ht="20.25" customHeight="1" x14ac:dyDescent="0.25">
      <c r="A660" s="71" t="s">
        <v>1121</v>
      </c>
      <c r="B660" s="74" t="s">
        <v>764</v>
      </c>
      <c r="C660" s="97"/>
      <c r="D660" s="107"/>
      <c r="E660" s="83"/>
      <c r="F660" s="83"/>
      <c r="G660" s="83"/>
    </row>
    <row r="661" spans="1:15" ht="15.75" customHeight="1" thickBot="1" x14ac:dyDescent="0.3">
      <c r="A661" s="71"/>
      <c r="B661" s="74"/>
      <c r="C661" s="97"/>
      <c r="D661" s="107"/>
      <c r="E661" s="83"/>
      <c r="F661" s="83"/>
      <c r="G661" s="83"/>
      <c r="H661" s="22" t="s">
        <v>171</v>
      </c>
      <c r="I661" s="22"/>
      <c r="J661" s="22" t="s">
        <v>1005</v>
      </c>
    </row>
    <row r="662" spans="1:15" ht="32.25" customHeight="1" thickTop="1" thickBot="1" x14ac:dyDescent="0.3">
      <c r="A662" s="79" t="s">
        <v>266</v>
      </c>
      <c r="B662" s="80" t="s">
        <v>265</v>
      </c>
      <c r="C662" s="81"/>
      <c r="D662" s="81"/>
      <c r="E662" s="81"/>
      <c r="F662" s="81"/>
      <c r="G662" s="81"/>
      <c r="H662" s="82" t="str">
        <f>H7</f>
        <v>2022.</v>
      </c>
      <c r="I662" s="82" t="str">
        <f>I7</f>
        <v>2022.</v>
      </c>
      <c r="J662" s="82" t="str">
        <f>J7</f>
        <v>2023.</v>
      </c>
      <c r="L662" s="314" t="s">
        <v>873</v>
      </c>
    </row>
    <row r="663" spans="1:15" ht="15" hidden="1" customHeight="1" thickTop="1" x14ac:dyDescent="0.25">
      <c r="A663" s="84">
        <v>1</v>
      </c>
      <c r="B663" s="151" t="s">
        <v>765</v>
      </c>
      <c r="C663" s="85"/>
      <c r="D663" s="85"/>
      <c r="E663" s="86"/>
      <c r="F663" s="86"/>
      <c r="G663" s="86"/>
      <c r="H663" s="87">
        <v>0</v>
      </c>
      <c r="I663" s="87">
        <v>0</v>
      </c>
      <c r="J663" s="87">
        <v>0</v>
      </c>
    </row>
    <row r="664" spans="1:15" ht="15" customHeight="1" thickTop="1" thickBot="1" x14ac:dyDescent="0.3">
      <c r="A664" s="88">
        <v>1</v>
      </c>
      <c r="B664" s="153" t="s">
        <v>264</v>
      </c>
      <c r="C664" s="89"/>
      <c r="D664" s="89"/>
      <c r="E664" s="90"/>
      <c r="F664" s="90"/>
      <c r="G664" s="90"/>
      <c r="H664" s="75">
        <v>-33307324</v>
      </c>
      <c r="I664" s="196">
        <f>+ROUND((H664/$L$2),2)</f>
        <v>-4420641.58</v>
      </c>
      <c r="J664" s="196">
        <v>-452464.5</v>
      </c>
      <c r="L664" s="332" t="s">
        <v>875</v>
      </c>
    </row>
    <row r="665" spans="1:15" ht="15" hidden="1" customHeight="1" thickBot="1" x14ac:dyDescent="0.3">
      <c r="A665" s="88">
        <v>2</v>
      </c>
      <c r="B665" s="736" t="s">
        <v>765</v>
      </c>
      <c r="C665" s="734"/>
      <c r="D665" s="734"/>
      <c r="E665" s="734"/>
      <c r="F665" s="734"/>
      <c r="G665" s="90"/>
      <c r="H665" s="75"/>
      <c r="I665" s="196"/>
      <c r="J665" s="196"/>
      <c r="L665" s="331" t="s">
        <v>874</v>
      </c>
    </row>
    <row r="666" spans="1:15" ht="15" hidden="1" customHeight="1" thickBot="1" x14ac:dyDescent="0.3">
      <c r="A666" s="91">
        <v>3</v>
      </c>
      <c r="B666" s="159" t="s">
        <v>766</v>
      </c>
      <c r="C666" s="92"/>
      <c r="D666" s="92"/>
      <c r="E666" s="93"/>
      <c r="F666" s="93"/>
      <c r="G666" s="93"/>
      <c r="H666" s="94">
        <v>0</v>
      </c>
      <c r="I666" s="452">
        <v>0</v>
      </c>
      <c r="J666" s="452">
        <v>0</v>
      </c>
    </row>
    <row r="667" spans="1:15" s="150" customFormat="1" ht="18" customHeight="1" thickTop="1" thickBot="1" x14ac:dyDescent="0.3">
      <c r="A667" s="95"/>
      <c r="B667" s="95" t="s">
        <v>854</v>
      </c>
      <c r="C667" s="95"/>
      <c r="D667" s="95"/>
      <c r="E667" s="95"/>
      <c r="F667" s="95"/>
      <c r="G667" s="96"/>
      <c r="H667" s="96">
        <f>SUM(H663:H666)</f>
        <v>-33307324</v>
      </c>
      <c r="I667" s="454">
        <f>SUM(I663:I666)</f>
        <v>-4420641.58</v>
      </c>
      <c r="J667" s="454">
        <f>SUM(J663:J666)</f>
        <v>-452464.5</v>
      </c>
      <c r="K667" s="63"/>
      <c r="L667" s="455">
        <f>J667-'NOVČANI TOKOVI'!J45</f>
        <v>0</v>
      </c>
      <c r="M667" s="64"/>
      <c r="N667" s="64"/>
      <c r="O667" s="63"/>
    </row>
    <row r="668" spans="1:15" s="150" customFormat="1" ht="18" customHeight="1" thickTop="1" x14ac:dyDescent="0.25">
      <c r="A668" s="281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455">
        <f>H667/L2</f>
        <v>-4420641.582055876</v>
      </c>
      <c r="M668" s="64"/>
      <c r="N668" s="64"/>
      <c r="O668" s="63"/>
    </row>
    <row r="669" spans="1:15" customFormat="1" x14ac:dyDescent="0.25">
      <c r="A669" s="55" t="s">
        <v>127</v>
      </c>
      <c r="B669" s="304" t="s">
        <v>394</v>
      </c>
      <c r="C669" s="5" t="s">
        <v>395</v>
      </c>
      <c r="D669" s="5"/>
      <c r="E669" s="4"/>
      <c r="F669" s="63"/>
      <c r="G669" s="63"/>
      <c r="H669" s="442" t="s">
        <v>767</v>
      </c>
      <c r="I669" s="442"/>
      <c r="J669" s="636" t="s">
        <v>1140</v>
      </c>
      <c r="K669" s="636"/>
      <c r="L669" s="333"/>
    </row>
    <row r="670" spans="1:15" customFormat="1" ht="12" customHeight="1" x14ac:dyDescent="0.25">
      <c r="A670" s="55"/>
      <c r="B670" s="5"/>
      <c r="C670" s="5"/>
      <c r="D670" s="5"/>
      <c r="E670" s="4"/>
      <c r="F670" s="56"/>
      <c r="G670" s="56"/>
      <c r="L670" s="334"/>
    </row>
    <row r="671" spans="1:15" customFormat="1" ht="12" customHeight="1" x14ac:dyDescent="0.25">
      <c r="A671" s="2"/>
      <c r="B671" s="2"/>
      <c r="C671" s="2"/>
      <c r="D671" s="2"/>
      <c r="E671" s="2"/>
      <c r="F671" s="2"/>
      <c r="G671" s="57"/>
      <c r="L671" s="334"/>
    </row>
    <row r="672" spans="1:15" customFormat="1" ht="17.25" customHeight="1" x14ac:dyDescent="0.25">
      <c r="A672" s="638" t="s">
        <v>1124</v>
      </c>
      <c r="B672" s="638"/>
      <c r="C672" s="638"/>
      <c r="D672" s="638"/>
      <c r="E672" s="638"/>
      <c r="F672" s="638"/>
      <c r="G672" s="638"/>
      <c r="H672" s="638"/>
      <c r="I672" s="638"/>
      <c r="J672" s="638"/>
      <c r="L672" s="334"/>
    </row>
    <row r="673" spans="1:15" customFormat="1" ht="12" customHeight="1" x14ac:dyDescent="0.25">
      <c r="A673" s="443"/>
      <c r="B673" s="443"/>
      <c r="C673" s="443"/>
      <c r="D673" s="443"/>
      <c r="E673" s="443"/>
      <c r="F673" s="443"/>
      <c r="G673" s="443"/>
      <c r="H673" s="443"/>
      <c r="I673" s="443"/>
      <c r="J673" s="443"/>
      <c r="L673" s="334"/>
    </row>
    <row r="674" spans="1:15" s="4" customFormat="1" ht="12" customHeight="1" x14ac:dyDescent="0.2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L674" s="334"/>
    </row>
    <row r="675" spans="1:15" customFormat="1" x14ac:dyDescent="0.25">
      <c r="A675" s="639" t="s">
        <v>1123</v>
      </c>
      <c r="B675" s="639"/>
      <c r="C675" s="639"/>
      <c r="D675" s="639"/>
      <c r="E675" s="639"/>
      <c r="F675" s="639"/>
      <c r="G675" s="639"/>
      <c r="H675" s="639"/>
      <c r="I675" s="639"/>
      <c r="J675" s="639"/>
      <c r="L675" s="334"/>
    </row>
    <row r="676" spans="1:15" customFormat="1" x14ac:dyDescent="0.25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L676" s="335"/>
      <c r="M676" s="1"/>
      <c r="N676" s="1"/>
    </row>
    <row r="677" spans="1:15" customFormat="1" x14ac:dyDescent="0.25">
      <c r="A677" s="757"/>
      <c r="B677" s="757"/>
      <c r="C677" s="757"/>
      <c r="D677" s="757"/>
      <c r="E677" s="757"/>
      <c r="F677" s="757"/>
      <c r="G677" s="757"/>
      <c r="H677" s="757"/>
      <c r="I677" s="757"/>
      <c r="J677" s="757"/>
      <c r="L677" s="335"/>
      <c r="M677" s="1"/>
      <c r="N677" s="1"/>
    </row>
    <row r="678" spans="1:15" s="150" customFormat="1" ht="18" customHeight="1" x14ac:dyDescent="0.25">
      <c r="A678" s="281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314"/>
      <c r="M678" s="64"/>
      <c r="N678" s="64"/>
      <c r="O678" s="63"/>
    </row>
  </sheetData>
  <mergeCells count="139">
    <mergeCell ref="B442:D442"/>
    <mergeCell ref="B375:F375"/>
    <mergeCell ref="B377:F377"/>
    <mergeCell ref="L385:M385"/>
    <mergeCell ref="A290:B290"/>
    <mergeCell ref="B166:G166"/>
    <mergeCell ref="B385:F385"/>
    <mergeCell ref="A419:J421"/>
    <mergeCell ref="B423:D423"/>
    <mergeCell ref="B439:H439"/>
    <mergeCell ref="B431:D431"/>
    <mergeCell ref="B434:F434"/>
    <mergeCell ref="A209:A210"/>
    <mergeCell ref="B209:B210"/>
    <mergeCell ref="F209:J209"/>
    <mergeCell ref="B217:F217"/>
    <mergeCell ref="A219:A220"/>
    <mergeCell ref="B219:B220"/>
    <mergeCell ref="F219:J219"/>
    <mergeCell ref="B233:D233"/>
    <mergeCell ref="B284:D284"/>
    <mergeCell ref="B265:H265"/>
    <mergeCell ref="B417:D417"/>
    <mergeCell ref="B342:D342"/>
    <mergeCell ref="L91:M91"/>
    <mergeCell ref="L158:M158"/>
    <mergeCell ref="L177:N177"/>
    <mergeCell ref="L73:M73"/>
    <mergeCell ref="O209:O210"/>
    <mergeCell ref="L473:M473"/>
    <mergeCell ref="L485:M485"/>
    <mergeCell ref="L474:M474"/>
    <mergeCell ref="L355:M355"/>
    <mergeCell ref="L287:M287"/>
    <mergeCell ref="L288:M288"/>
    <mergeCell ref="L349:M349"/>
    <mergeCell ref="M419:V421"/>
    <mergeCell ref="L75:M75"/>
    <mergeCell ref="S209:W209"/>
    <mergeCell ref="O217:S217"/>
    <mergeCell ref="N219:N220"/>
    <mergeCell ref="O219:O220"/>
    <mergeCell ref="S219:W219"/>
    <mergeCell ref="L259:M259"/>
    <mergeCell ref="L387:M387"/>
    <mergeCell ref="L89:M89"/>
    <mergeCell ref="L193:M193"/>
    <mergeCell ref="L227:M227"/>
    <mergeCell ref="L244:M244"/>
    <mergeCell ref="L224:M224"/>
    <mergeCell ref="L163:N163"/>
    <mergeCell ref="L175:M175"/>
    <mergeCell ref="L212:M212"/>
    <mergeCell ref="L213:M213"/>
    <mergeCell ref="L223:M223"/>
    <mergeCell ref="N209:N210"/>
    <mergeCell ref="L176:M176"/>
    <mergeCell ref="L189:O189"/>
    <mergeCell ref="L188:O188"/>
    <mergeCell ref="B457:D457"/>
    <mergeCell ref="B467:D467"/>
    <mergeCell ref="B497:D497"/>
    <mergeCell ref="B508:D508"/>
    <mergeCell ref="B516:D516"/>
    <mergeCell ref="B577:D577"/>
    <mergeCell ref="B523:J523"/>
    <mergeCell ref="B527:F527"/>
    <mergeCell ref="B488:I488"/>
    <mergeCell ref="B491:D491"/>
    <mergeCell ref="A677:J677"/>
    <mergeCell ref="B500:D500"/>
    <mergeCell ref="B503:F503"/>
    <mergeCell ref="B504:F504"/>
    <mergeCell ref="B505:F505"/>
    <mergeCell ref="B583:F583"/>
    <mergeCell ref="B533:J533"/>
    <mergeCell ref="B543:J543"/>
    <mergeCell ref="B604:F604"/>
    <mergeCell ref="B665:F665"/>
    <mergeCell ref="A672:J672"/>
    <mergeCell ref="B526:G526"/>
    <mergeCell ref="B529:F529"/>
    <mergeCell ref="B530:F530"/>
    <mergeCell ref="A675:J675"/>
    <mergeCell ref="J669:K669"/>
    <mergeCell ref="B519:D519"/>
    <mergeCell ref="B647:L647"/>
    <mergeCell ref="L560:M560"/>
    <mergeCell ref="L567:M567"/>
    <mergeCell ref="L566:M566"/>
    <mergeCell ref="L513:M513"/>
    <mergeCell ref="B326:D326"/>
    <mergeCell ref="B328:D328"/>
    <mergeCell ref="A348:B348"/>
    <mergeCell ref="B445:H445"/>
    <mergeCell ref="A311:B311"/>
    <mergeCell ref="L435:M435"/>
    <mergeCell ref="A1:J1"/>
    <mergeCell ref="B5:E5"/>
    <mergeCell ref="B95:D95"/>
    <mergeCell ref="B106:F106"/>
    <mergeCell ref="B107:F107"/>
    <mergeCell ref="B27:F27"/>
    <mergeCell ref="B91:F91"/>
    <mergeCell ref="B92:D92"/>
    <mergeCell ref="B93:F93"/>
    <mergeCell ref="B81:D81"/>
    <mergeCell ref="B82:D82"/>
    <mergeCell ref="B37:F37"/>
    <mergeCell ref="B60:F60"/>
    <mergeCell ref="B73:G73"/>
    <mergeCell ref="L15:M15"/>
    <mergeCell ref="L52:N52"/>
    <mergeCell ref="L88:N88"/>
    <mergeCell ref="L43:N43"/>
    <mergeCell ref="B108:F108"/>
    <mergeCell ref="B109:F109"/>
    <mergeCell ref="B110:F110"/>
    <mergeCell ref="B528:G528"/>
    <mergeCell ref="B165:G165"/>
    <mergeCell ref="B164:G164"/>
    <mergeCell ref="B405:D405"/>
    <mergeCell ref="B391:D391"/>
    <mergeCell ref="B398:D398"/>
    <mergeCell ref="B388:F388"/>
    <mergeCell ref="B362:D362"/>
    <mergeCell ref="B111:F111"/>
    <mergeCell ref="B122:C122"/>
    <mergeCell ref="B140:D140"/>
    <mergeCell ref="B204:F204"/>
    <mergeCell ref="B146:F146"/>
    <mergeCell ref="B416:C416"/>
    <mergeCell ref="B384:F384"/>
    <mergeCell ref="B380:D380"/>
    <mergeCell ref="B383:F383"/>
    <mergeCell ref="B402:F402"/>
    <mergeCell ref="B354:F354"/>
    <mergeCell ref="B247:F247"/>
    <mergeCell ref="A325:B325"/>
  </mergeCells>
  <printOptions horizontalCentered="1"/>
  <pageMargins left="0.511811023622047" right="0.511811023622047" top="0.74803149606299202" bottom="0.35433070866141703" header="0.31496062992126" footer="0.31496062992126"/>
  <pageSetup paperSize="9" scale="83" fitToHeight="0" orientation="portrait" r:id="rId1"/>
  <headerFooter>
    <oddHeader xml:space="preserve">&amp;L&amp;G&amp;R </oddHeader>
    <oddFooter>&amp;R&amp;P</oddFooter>
  </headerFooter>
  <rowBreaks count="14" manualBreakCount="14">
    <brk id="48" max="9" man="1"/>
    <brk id="96" max="9" man="1"/>
    <brk id="138" max="9" man="1"/>
    <brk id="183" max="9" man="1"/>
    <brk id="231" max="9" man="1"/>
    <brk id="282" max="9" man="1"/>
    <brk id="331" max="9" man="1"/>
    <brk id="378" max="9" man="1"/>
    <brk id="429" max="9" man="1"/>
    <brk id="486" max="9" man="1"/>
    <brk id="541" max="9" man="1"/>
    <brk id="590" max="9" man="1"/>
    <brk id="638" max="9" man="1"/>
    <brk id="675" max="9" man="1"/>
  </rowBreaks>
  <colBreaks count="1" manualBreakCount="1">
    <brk id="10" max="1048575" man="1"/>
  </colBreaks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RightsWATCHMark">5|HEP-POKD-NEKLASIFICIRANO|{00000000-0000-0000-0000-000000000000}</XMLData>
</file>

<file path=customXml/item2.xml><?xml version="1.0" encoding="utf-8"?>
<XMLData TextToDisplay="%CLASSIFICATIONDATETIME%">13:32 14/05/2020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817B0099-E2BC-4009-8558-BC534AC954BB}">
  <ds:schemaRefs/>
</ds:datastoreItem>
</file>

<file path=customXml/itemProps2.xml><?xml version="1.0" encoding="utf-8"?>
<ds:datastoreItem xmlns:ds="http://schemas.openxmlformats.org/officeDocument/2006/customXml" ds:itemID="{709621DB-3A40-4CAA-8D4D-18885DB1C0E6}">
  <ds:schemaRefs/>
</ds:datastoreItem>
</file>

<file path=customXml/itemProps3.xml><?xml version="1.0" encoding="utf-8"?>
<ds:datastoreItem xmlns:ds="http://schemas.openxmlformats.org/officeDocument/2006/customXml" ds:itemID="{590E9D7D-AD56-4897-9A52-1D4CB67CEAD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BILANCA</vt:lpstr>
      <vt:lpstr>RDG </vt:lpstr>
      <vt:lpstr>SVEOBUHVATNA DOBIT </vt:lpstr>
      <vt:lpstr>NOVČANI TOKOVI</vt:lpstr>
      <vt:lpstr>PROMJENE KAPITALA </vt:lpstr>
      <vt:lpstr>BILJEŠKE </vt:lpstr>
      <vt:lpstr>BILANCA!Print_Area</vt:lpstr>
      <vt:lpstr>'BILJEŠKE '!Print_Area</vt:lpstr>
      <vt:lpstr>'NOVČANI TOKOVI'!Print_Area</vt:lpstr>
      <vt:lpstr>'PROMJENE KAPITALA '!Print_Area</vt:lpstr>
      <vt:lpstr>'RDG '!Print_Area</vt:lpstr>
      <vt:lpstr>'SVEOBUHVATNA DOBIT '!Print_Area</vt:lpstr>
      <vt:lpstr>BILANCA!Print_Titles</vt:lpstr>
      <vt:lpstr>'BILJEŠKE '!Print_Titles</vt:lpstr>
    </vt:vector>
  </TitlesOfParts>
  <Company>HEP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Jurina</dc:creator>
  <cp:lastModifiedBy>Ivan Dodig</cp:lastModifiedBy>
  <cp:lastPrinted>2024-06-13T13:17:07Z</cp:lastPrinted>
  <dcterms:created xsi:type="dcterms:W3CDTF">2017-03-31T10:57:43Z</dcterms:created>
  <dcterms:modified xsi:type="dcterms:W3CDTF">2024-06-27T12:46:50Z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5|HEP-POKD-NEKLASIFICIRANO|{00000000-0000-0000-0000-000000000000}</vt:lpwstr>
  </property>
  <property fmtid="{D5CDD505-2E9C-101B-9397-08002B2CF9AE}" pid="3" name="TitusGUID">
    <vt:lpwstr>fcea7aac-c37c-45d6-b212-edf83994645f</vt:lpwstr>
  </property>
  <property fmtid="{D5CDD505-2E9C-101B-9397-08002B2CF9AE}" pid="4" name="KLASIFIKACIJA">
    <vt:lpwstr>NEKLASIFICIRANO</vt:lpwstr>
  </property>
</Properties>
</file>